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Laboratorio de metrologia legal\Ajustes formatos audi 2018\"/>
    </mc:Choice>
  </mc:AlternateContent>
  <workbookProtection workbookAlgorithmName="SHA-512" workbookHashValue="4oemiSCCxkfXDuv7580+tcZBOh4XMhsAy6lVy/sSfBF0uNHdXk55icNZncMpQm8n5xLNHh0QqpTqnRlQwBwZLA==" workbookSaltValue="e9bulmDHVxxbDgheK+bp4g==" workbookSpinCount="100000" lockStructure="1"/>
  <bookViews>
    <workbookView xWindow="0" yWindow="0" windowWidth="16815" windowHeight="9315" firstSheet="2" activeTab="2"/>
  </bookViews>
  <sheets>
    <sheet name="DATOS" sheetId="15" state="hidden" r:id="rId1"/>
    <sheet name="RT03-F12" sheetId="8" state="hidden" r:id="rId2"/>
    <sheet name="RT03-F39" sheetId="14" r:id="rId3"/>
  </sheets>
  <externalReferences>
    <externalReference r:id="rId4"/>
    <externalReference r:id="rId5"/>
    <externalReference r:id="rId6"/>
    <externalReference r:id="rId7"/>
  </externalReferences>
  <definedNames>
    <definedName name="a1_">'[1]APROXIMACION LINEL'!$C$21</definedName>
    <definedName name="_xlnm.Print_Area" localSheetId="0">DATOS!$A$1:$T$165</definedName>
    <definedName name="_xlnm.Print_Area" localSheetId="1">'RT03-F12'!$A$1:$L$141</definedName>
    <definedName name="_xlnm.Print_Area" localSheetId="2">'RT03-F39'!$A$1:$F$198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_xlnm.Print_Titles" localSheetId="1">'RT03-F12'!$1:$3</definedName>
    <definedName name="_xlnm.Print_Titles" localSheetId="2">'RT03-F39'!$1:$4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4" l="1"/>
  <c r="C50" i="14"/>
  <c r="D195" i="14" l="1"/>
  <c r="D194" i="14"/>
  <c r="A195" i="14"/>
  <c r="A194" i="14"/>
  <c r="K63" i="8"/>
  <c r="J29" i="8"/>
  <c r="H29" i="8"/>
  <c r="E29" i="8"/>
  <c r="J28" i="8"/>
  <c r="G28" i="8"/>
  <c r="E28" i="8"/>
  <c r="C28" i="8"/>
  <c r="I23" i="8"/>
  <c r="R145" i="15"/>
  <c r="Q145" i="15"/>
  <c r="P145" i="15"/>
  <c r="R135" i="15"/>
  <c r="Q135" i="15"/>
  <c r="P135" i="15"/>
  <c r="R125" i="15"/>
  <c r="Q125" i="15"/>
  <c r="P125" i="15"/>
  <c r="R114" i="15"/>
  <c r="Q114" i="15"/>
  <c r="P114" i="15"/>
  <c r="R103" i="15"/>
  <c r="Q103" i="15"/>
  <c r="P103" i="15"/>
  <c r="B6" i="8" l="1"/>
  <c r="A50" i="14" l="1"/>
  <c r="I6" i="8" l="1"/>
  <c r="F5" i="14" s="1"/>
  <c r="B160" i="15"/>
  <c r="H6" i="8"/>
  <c r="C8" i="14" s="1"/>
  <c r="G6" i="8"/>
  <c r="C7" i="14" s="1"/>
  <c r="F6" i="8"/>
  <c r="F17" i="14" s="1"/>
  <c r="E6" i="8"/>
  <c r="D6" i="8"/>
  <c r="C26" i="14" s="1"/>
  <c r="C6" i="8"/>
  <c r="C17" i="14" s="1"/>
  <c r="P72" i="15"/>
  <c r="P71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N28" i="15"/>
  <c r="I15" i="8"/>
  <c r="I14" i="8"/>
  <c r="C64" i="14" s="1"/>
  <c r="I13" i="8"/>
  <c r="C63" i="14" s="1"/>
  <c r="I12" i="8"/>
  <c r="C62" i="14" s="1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 s="1"/>
  <c r="N31" i="15"/>
  <c r="H23" i="8" s="1"/>
  <c r="B57" i="8" s="1"/>
  <c r="D57" i="8" s="1"/>
  <c r="N32" i="15"/>
  <c r="H24" i="8" s="1"/>
  <c r="B58" i="8" s="1"/>
  <c r="A112" i="14" s="1"/>
  <c r="G23" i="8"/>
  <c r="J127" i="8" s="1"/>
  <c r="C14" i="14"/>
  <c r="C13" i="14"/>
  <c r="C12" i="14"/>
  <c r="E26" i="8"/>
  <c r="D26" i="8"/>
  <c r="C26" i="8"/>
  <c r="B26" i="8"/>
  <c r="I24" i="8"/>
  <c r="I79" i="8" s="1"/>
  <c r="H77" i="8"/>
  <c r="I22" i="8"/>
  <c r="G78" i="8" s="1"/>
  <c r="I21" i="8"/>
  <c r="F78" i="8" s="1"/>
  <c r="H21" i="8"/>
  <c r="B55" i="8" s="1"/>
  <c r="D55" i="8" s="1"/>
  <c r="J24" i="8"/>
  <c r="J23" i="8"/>
  <c r="J22" i="8"/>
  <c r="J21" i="8"/>
  <c r="G24" i="8"/>
  <c r="J128" i="8" s="1"/>
  <c r="G22" i="8"/>
  <c r="J126" i="8" s="1"/>
  <c r="G21" i="8"/>
  <c r="F69" i="8" s="1"/>
  <c r="D15" i="8"/>
  <c r="C24" i="14" s="1"/>
  <c r="D14" i="8"/>
  <c r="C23" i="14" s="1"/>
  <c r="D13" i="8"/>
  <c r="C22" i="14" s="1"/>
  <c r="D12" i="8"/>
  <c r="C21" i="14" s="1"/>
  <c r="D11" i="8"/>
  <c r="D10" i="8"/>
  <c r="D9" i="8"/>
  <c r="Q74" i="15"/>
  <c r="Q75" i="15" s="1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I56" i="15"/>
  <c r="I57" i="15" s="1"/>
  <c r="I58" i="15" s="1"/>
  <c r="I59" i="15" s="1"/>
  <c r="I60" i="15" s="1"/>
  <c r="I61" i="15" s="1"/>
  <c r="I62" i="15" s="1"/>
  <c r="I63" i="15" s="1"/>
  <c r="I64" i="15" s="1"/>
  <c r="I65" i="15" s="1"/>
  <c r="I66" i="15" s="1"/>
  <c r="I67" i="15" s="1"/>
  <c r="I68" i="15" s="1"/>
  <c r="I69" i="15" s="1"/>
  <c r="I70" i="15" s="1"/>
  <c r="P55" i="15"/>
  <c r="Q39" i="15"/>
  <c r="Q40" i="15" s="1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P38" i="15"/>
  <c r="B75" i="14"/>
  <c r="C183" i="14"/>
  <c r="C184" i="14"/>
  <c r="C185" i="14"/>
  <c r="C186" i="14"/>
  <c r="C182" i="14"/>
  <c r="D152" i="14"/>
  <c r="B148" i="14"/>
  <c r="A108" i="14"/>
  <c r="A87" i="14"/>
  <c r="B72" i="14"/>
  <c r="A72" i="14"/>
  <c r="C71" i="14"/>
  <c r="A71" i="14"/>
  <c r="B74" i="14"/>
  <c r="C152" i="14"/>
  <c r="L73" i="8"/>
  <c r="G26" i="8"/>
  <c r="G117" i="8" s="1"/>
  <c r="K117" i="8" s="1"/>
  <c r="D98" i="14"/>
  <c r="D97" i="14"/>
  <c r="D96" i="14"/>
  <c r="D95" i="14"/>
  <c r="D94" i="14"/>
  <c r="D93" i="14"/>
  <c r="D92" i="14"/>
  <c r="D91" i="14"/>
  <c r="D90" i="14"/>
  <c r="D89" i="14"/>
  <c r="C98" i="14"/>
  <c r="C97" i="14"/>
  <c r="C96" i="14"/>
  <c r="C95" i="14"/>
  <c r="C94" i="14"/>
  <c r="C93" i="14"/>
  <c r="C92" i="14"/>
  <c r="C91" i="14"/>
  <c r="C90" i="14"/>
  <c r="C89" i="14"/>
  <c r="B98" i="14"/>
  <c r="B97" i="14"/>
  <c r="B96" i="14"/>
  <c r="B95" i="14"/>
  <c r="B94" i="14"/>
  <c r="B93" i="14"/>
  <c r="B92" i="14"/>
  <c r="B91" i="14"/>
  <c r="B90" i="14"/>
  <c r="B89" i="14"/>
  <c r="A98" i="14"/>
  <c r="A97" i="14"/>
  <c r="A96" i="14"/>
  <c r="A95" i="14"/>
  <c r="A94" i="14"/>
  <c r="A93" i="14"/>
  <c r="A92" i="14"/>
  <c r="A91" i="14"/>
  <c r="A90" i="14"/>
  <c r="A89" i="14"/>
  <c r="B77" i="14"/>
  <c r="B76" i="14"/>
  <c r="B73" i="14"/>
  <c r="A77" i="14"/>
  <c r="A76" i="14"/>
  <c r="A75" i="14"/>
  <c r="A74" i="14"/>
  <c r="A73" i="14"/>
  <c r="A78" i="14"/>
  <c r="J87" i="8"/>
  <c r="I87" i="8"/>
  <c r="H87" i="8"/>
  <c r="G87" i="8"/>
  <c r="F87" i="8"/>
  <c r="I63" i="8"/>
  <c r="G63" i="8"/>
  <c r="E63" i="8"/>
  <c r="E64" i="8" s="1"/>
  <c r="A57" i="14" s="1"/>
  <c r="I59" i="8"/>
  <c r="J59" i="8" s="1"/>
  <c r="I58" i="8"/>
  <c r="J58" i="8" s="1"/>
  <c r="I57" i="8"/>
  <c r="J57" i="8" s="1"/>
  <c r="I56" i="8"/>
  <c r="J56" i="8" s="1"/>
  <c r="I55" i="8"/>
  <c r="D50" i="8"/>
  <c r="E50" i="8" s="1"/>
  <c r="C50" i="8"/>
  <c r="D49" i="8"/>
  <c r="E49" i="8" s="1"/>
  <c r="C49" i="8"/>
  <c r="D48" i="8"/>
  <c r="E48" i="8" s="1"/>
  <c r="C48" i="8"/>
  <c r="A46" i="8"/>
  <c r="B50" i="8" s="1"/>
  <c r="A45" i="8"/>
  <c r="B49" i="8" s="1"/>
  <c r="A44" i="8"/>
  <c r="B87" i="14" s="1"/>
  <c r="G37" i="8"/>
  <c r="G38" i="8" s="1"/>
  <c r="F37" i="8"/>
  <c r="F38" i="8" s="1"/>
  <c r="E37" i="8"/>
  <c r="E38" i="8" s="1"/>
  <c r="D37" i="8"/>
  <c r="D38" i="8" s="1"/>
  <c r="C37" i="8"/>
  <c r="C38" i="8" s="1"/>
  <c r="G34" i="8"/>
  <c r="B71" i="14"/>
  <c r="E57" i="8" l="1"/>
  <c r="D184" i="14"/>
  <c r="C75" i="14"/>
  <c r="E55" i="8"/>
  <c r="D182" i="14"/>
  <c r="C76" i="14"/>
  <c r="D87" i="14"/>
  <c r="B182" i="14"/>
  <c r="H69" i="8"/>
  <c r="B185" i="14"/>
  <c r="K58" i="8"/>
  <c r="D58" i="8"/>
  <c r="I64" i="8"/>
  <c r="C57" i="14" s="1"/>
  <c r="G64" i="8"/>
  <c r="B57" i="14" s="1"/>
  <c r="J125" i="8"/>
  <c r="I77" i="8"/>
  <c r="I78" i="8"/>
  <c r="F48" i="8"/>
  <c r="I73" i="8" s="1"/>
  <c r="C77" i="14"/>
  <c r="C73" i="14"/>
  <c r="C74" i="14"/>
  <c r="I69" i="8"/>
  <c r="H79" i="8"/>
  <c r="H25" i="8"/>
  <c r="B59" i="8" s="1"/>
  <c r="D59" i="8" s="1"/>
  <c r="H78" i="8"/>
  <c r="G25" i="8"/>
  <c r="J129" i="8" s="1"/>
  <c r="A109" i="14"/>
  <c r="F77" i="8"/>
  <c r="F79" i="8"/>
  <c r="C87" i="14"/>
  <c r="B48" i="8"/>
  <c r="G74" i="8"/>
  <c r="C39" i="8"/>
  <c r="G72" i="8" s="1"/>
  <c r="I25" i="8"/>
  <c r="J79" i="8" s="1"/>
  <c r="G77" i="8"/>
  <c r="G79" i="8"/>
  <c r="H73" i="8"/>
  <c r="J55" i="8"/>
  <c r="K55" i="8"/>
  <c r="B184" i="14"/>
  <c r="A111" i="14"/>
  <c r="K57" i="8"/>
  <c r="G69" i="8"/>
  <c r="B56" i="8"/>
  <c r="I74" i="8"/>
  <c r="J74" i="8"/>
  <c r="H74" i="8"/>
  <c r="F74" i="8"/>
  <c r="F122" i="14"/>
  <c r="F48" i="14"/>
  <c r="F161" i="14"/>
  <c r="F85" i="14"/>
  <c r="E58" i="8" l="1"/>
  <c r="D185" i="14"/>
  <c r="E59" i="8"/>
  <c r="D186" i="14"/>
  <c r="L58" i="8"/>
  <c r="B112" i="14"/>
  <c r="L55" i="8"/>
  <c r="B109" i="14"/>
  <c r="L57" i="8"/>
  <c r="B111" i="14"/>
  <c r="G73" i="8"/>
  <c r="B186" i="14"/>
  <c r="I80" i="8"/>
  <c r="I94" i="8" s="1"/>
  <c r="A113" i="14"/>
  <c r="E117" i="8"/>
  <c r="E118" i="8" s="1"/>
  <c r="J73" i="8"/>
  <c r="F73" i="8"/>
  <c r="K59" i="8"/>
  <c r="G80" i="8"/>
  <c r="G94" i="8" s="1"/>
  <c r="J77" i="8"/>
  <c r="J69" i="8"/>
  <c r="H80" i="8"/>
  <c r="H94" i="8" s="1"/>
  <c r="F80" i="8"/>
  <c r="F94" i="8" s="1"/>
  <c r="J72" i="8"/>
  <c r="J75" i="8" s="1"/>
  <c r="F72" i="8"/>
  <c r="I72" i="8"/>
  <c r="J78" i="8"/>
  <c r="G75" i="8"/>
  <c r="G89" i="8" s="1"/>
  <c r="F75" i="8"/>
  <c r="I75" i="8"/>
  <c r="H72" i="8"/>
  <c r="H75" i="8" s="1"/>
  <c r="B78" i="14"/>
  <c r="B183" i="14"/>
  <c r="A110" i="14"/>
  <c r="D56" i="8"/>
  <c r="K56" i="8"/>
  <c r="L56" i="8" l="1"/>
  <c r="B110" i="14"/>
  <c r="E56" i="8"/>
  <c r="D183" i="14"/>
  <c r="L59" i="8"/>
  <c r="B113" i="14"/>
  <c r="J80" i="8"/>
  <c r="J94" i="8" s="1"/>
  <c r="F82" i="8"/>
  <c r="A109" i="8" s="1"/>
  <c r="G82" i="8"/>
  <c r="G96" i="8" s="1"/>
  <c r="G99" i="8" s="1"/>
  <c r="G103" i="8" s="1"/>
  <c r="G104" i="8" s="1"/>
  <c r="C110" i="14" s="1"/>
  <c r="F89" i="8"/>
  <c r="H82" i="8"/>
  <c r="A111" i="8" s="1"/>
  <c r="H89" i="8"/>
  <c r="J89" i="8"/>
  <c r="I89" i="8"/>
  <c r="I82" i="8"/>
  <c r="F96" i="8" l="1"/>
  <c r="F99" i="8" s="1"/>
  <c r="F103" i="8" s="1"/>
  <c r="F104" i="8" s="1"/>
  <c r="C109" i="14" s="1"/>
  <c r="J82" i="8"/>
  <c r="A113" i="8" s="1"/>
  <c r="C113" i="8" s="1"/>
  <c r="A110" i="8"/>
  <c r="C110" i="8" s="1"/>
  <c r="H96" i="8"/>
  <c r="H99" i="8" s="1"/>
  <c r="H103" i="8" s="1"/>
  <c r="H104" i="8" s="1"/>
  <c r="C111" i="14" s="1"/>
  <c r="A112" i="8"/>
  <c r="I96" i="8"/>
  <c r="I99" i="8" s="1"/>
  <c r="I103" i="8" s="1"/>
  <c r="I104" i="8" s="1"/>
  <c r="C112" i="14" s="1"/>
  <c r="C109" i="8"/>
  <c r="B109" i="8"/>
  <c r="B111" i="8"/>
  <c r="C111" i="8"/>
  <c r="B113" i="8" l="1"/>
  <c r="J96" i="8"/>
  <c r="J99" i="8" s="1"/>
  <c r="J103" i="8" s="1"/>
  <c r="J104" i="8" s="1"/>
  <c r="C113" i="14" s="1"/>
  <c r="B110" i="8"/>
  <c r="C112" i="8"/>
  <c r="C114" i="8" s="1"/>
  <c r="B118" i="8" s="1"/>
  <c r="G132" i="8" s="1"/>
  <c r="B112" i="8"/>
  <c r="G118" i="8" l="1"/>
  <c r="E150" i="14" s="1"/>
  <c r="B114" i="8"/>
  <c r="B116" i="8" s="1"/>
  <c r="D132" i="8" l="1"/>
  <c r="B117" i="8"/>
  <c r="F135" i="8"/>
  <c r="C148" i="14" s="1"/>
  <c r="G110" i="8"/>
  <c r="G112" i="8"/>
  <c r="G113" i="8"/>
  <c r="G109" i="8"/>
  <c r="G111" i="8"/>
  <c r="G114" i="8" l="1"/>
  <c r="I117" i="8" s="1"/>
  <c r="I118" i="8" s="1"/>
  <c r="D112" i="8"/>
  <c r="E112" i="8" s="1"/>
  <c r="K128" i="8" s="1"/>
  <c r="D113" i="8"/>
  <c r="E113" i="8" s="1"/>
  <c r="K129" i="8" s="1"/>
  <c r="D109" i="8"/>
  <c r="E109" i="8" s="1"/>
  <c r="D110" i="8"/>
  <c r="E110" i="8" s="1"/>
  <c r="K126" i="8" s="1"/>
  <c r="D111" i="8"/>
  <c r="E111" i="8" s="1"/>
  <c r="K127" i="8" s="1"/>
  <c r="D121" i="8" l="1"/>
  <c r="K125" i="8"/>
  <c r="D122" i="8"/>
  <c r="F137" i="8" s="1"/>
  <c r="F138" i="8" s="1"/>
  <c r="B152" i="14" s="1"/>
  <c r="H122" i="8" l="1"/>
  <c r="H137" i="8"/>
  <c r="E152" i="14" l="1"/>
  <c r="H138" i="8"/>
</calcChain>
</file>

<file path=xl/sharedStrings.xml><?xml version="1.0" encoding="utf-8"?>
<sst xmlns="http://schemas.openxmlformats.org/spreadsheetml/2006/main" count="754" uniqueCount="420">
  <si>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</si>
  <si>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</si>
  <si>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</si>
  <si>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</si>
  <si>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</si>
  <si>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</si>
  <si>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</si>
  <si>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</si>
  <si>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</si>
  <si>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</si>
  <si>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</si>
  <si>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</si>
  <si>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</si>
  <si>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</si>
  <si>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</si>
  <si>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</si>
  <si>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</si>
  <si>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</si>
  <si>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</si>
  <si>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</si>
  <si>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</si>
  <si>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</si>
  <si>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</si>
  <si>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</si>
  <si>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</si>
  <si>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</si>
  <si>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</si>
  <si>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</si>
  <si>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</si>
  <si>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</si>
  <si>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</si>
  <si>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</si>
  <si>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</si>
  <si>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</si>
  <si>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</si>
  <si>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APROXIMACION POR LINEA RECTA QUE CRUZA POR CERO PARA EL ERROR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</si>
  <si>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</si>
  <si>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</si>
  <si>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</si>
  <si>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</si>
  <si>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</si>
  <si>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</si>
  <si>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</si>
  <si>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</si>
  <si>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</si>
  <si>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</si>
  <si>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</si>
  <si>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</si>
  <si>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</si>
  <si>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</si>
  <si>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</si>
  <si>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</si>
  <si>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</si>
  <si>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</si>
  <si>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</si>
  <si>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</si>
  <si>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</si>
  <si>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</si>
  <si>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</si>
  <si>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</si>
  <si>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</si>
  <si>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</si>
  <si>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Hora</t>
  </si>
  <si>
    <t>CONDICIONES AMBIENTALES FINALES</t>
  </si>
  <si>
    <t>INCERTIDUMBRE EXPANDIDA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</si>
  <si>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</si>
  <si>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</si>
  <si>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</si>
  <si>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</si>
  <si>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</si>
  <si>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</si>
  <si>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</si>
  <si>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>u(mg)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</si>
  <si>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</si>
  <si>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</si>
  <si>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</si>
  <si>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</si>
  <si>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</si>
  <si>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</si>
  <si>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</si>
  <si>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</si>
  <si>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</si>
  <si>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</si>
  <si>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</si>
  <si>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</si>
  <si>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</si>
  <si>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</si>
  <si>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</si>
  <si>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</si>
  <si>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</si>
  <si>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</si>
  <si>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</si>
  <si>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6.2 PRUEBA DE EXCENTRICIDAD</t>
  </si>
  <si>
    <t>g</t>
  </si>
  <si>
    <t>Figura 1</t>
  </si>
  <si>
    <t>Prueba de excentricidad.</t>
  </si>
  <si>
    <t>REPETICIÓN. No.</t>
  </si>
  <si>
    <t>INDICACIÓN g</t>
  </si>
  <si>
    <t>Prueba de repetibilidad.</t>
  </si>
  <si>
    <t>6.3  ERROR DE INDICACIÓN</t>
  </si>
  <si>
    <t>Prueba para los errores de las indicaciones</t>
  </si>
  <si>
    <t>La incertidumbre estándar del error obtenida durante el ejercicio de calibración, debe incrementarse por la adición de la incertidumbre estándar de la lectura, ver modelo.</t>
  </si>
  <si>
    <t>w *</t>
  </si>
  <si>
    <t>medición en condición de calibración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</si>
  <si>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</si>
  <si>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</si>
  <si>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</si>
  <si>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</si>
  <si>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</si>
  <si>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</si>
  <si>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</si>
  <si>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</si>
  <si>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</si>
  <si>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</si>
  <si>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</si>
  <si>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</si>
  <si>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</si>
  <si>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 xml:space="preserve">INCERTIDUMBRE ESTÁNDAR DEL ERROR  </t>
  </si>
  <si>
    <t xml:space="preserve">INCERTIDUMBRE ESTÁNDAR MASA DE REFERENCIA  </t>
  </si>
  <si>
    <t>ANTES DE AJUSTE</t>
  </si>
  <si>
    <t>DESPUES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</si>
  <si>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</si>
  <si>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</si>
  <si>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</si>
  <si>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</si>
  <si>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</si>
  <si>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</si>
  <si>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</si>
  <si>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</si>
  <si>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</si>
  <si>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>K =</t>
  </si>
  <si>
    <t>NC 95,45%</t>
  </si>
  <si>
    <t xml:space="preserve">Determinar la diferencia de indicación del instrumento con carga en posiciones periféricas.       </t>
  </si>
  <si>
    <t>Colocación repetitiva de la misma carga en el receptor de carga, la(s) carga(s) de prueba debería ser en lo posible de una sola pieza.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</si>
  <si>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</si>
  <si>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</si>
  <si>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</si>
  <si>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</si>
  <si>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</si>
  <si>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</si>
  <si>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>4.   MÉTODO DE CALIBRACIÓN UTILIZADO</t>
  </si>
  <si>
    <t>5.   PROCEDIMIENTO DE CALIBRACIÓN</t>
  </si>
  <si>
    <t>Apropiadas</t>
  </si>
  <si>
    <t>9.   TRAZABILIDAD DEL PATRON QUE SE USO EN LA CALIBRACIÓN.</t>
  </si>
  <si>
    <t>10.   RESULTADOS DE MEDICIÓN.</t>
  </si>
  <si>
    <t>mg</t>
  </si>
  <si>
    <t>7.   CONDICIONES DE MEDICIÓN:</t>
  </si>
  <si>
    <t>6.1  PRUEBA DE REPETIBILIDAD</t>
  </si>
  <si>
    <t xml:space="preserve">12.   INCERTIDUMBRE EXPANDIDA DE LOS ERRORES   </t>
  </si>
  <si>
    <t>14.   OBSERVACIONES</t>
  </si>
  <si>
    <t>15.   RESULTADOS ANTES DE AJUSTE</t>
  </si>
  <si>
    <t xml:space="preserve">         CALIBRADO POR:</t>
  </si>
  <si>
    <r>
      <rPr>
        <b/>
        <sz val="9"/>
        <color theme="1"/>
        <rFont val="Arial Narrow"/>
        <family val="2"/>
      </rPr>
      <t>NOTA</t>
    </r>
    <r>
      <rPr>
        <sz val="9"/>
        <color theme="1"/>
        <rFont val="Arial Narrow"/>
        <family val="2"/>
      </rPr>
      <t>: Las condiciones ambientales se refieren al sitio y momento de la calibración.</t>
    </r>
  </si>
  <si>
    <t xml:space="preserve">    ______________________________</t>
  </si>
  <si>
    <t>E (R)  (mg) =</t>
  </si>
  <si>
    <t xml:space="preserve">                    Firma Autorizada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</si>
  <si>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</si>
  <si>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r>
      <rPr>
        <b/>
        <i/>
        <sz val="10"/>
        <color theme="1"/>
        <rFont val="Arial Narrow"/>
        <family val="2"/>
      </rPr>
      <t>REPETIBILIDAD</t>
    </r>
    <r>
      <rPr>
        <b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               </t>
    </r>
  </si>
  <si>
    <r>
      <rPr>
        <b/>
        <i/>
        <sz val="10"/>
        <color theme="1"/>
        <rFont val="Arial Narrow"/>
        <family val="2"/>
      </rPr>
      <t>ERROR DE INDICACIÓN</t>
    </r>
    <r>
      <rPr>
        <sz val="10"/>
        <color theme="1"/>
        <rFont val="Arial Narrow"/>
        <family val="2"/>
      </rPr>
      <t xml:space="preserve">:   </t>
    </r>
  </si>
  <si>
    <r>
      <t xml:space="preserve">La incertidumbre reportada corresponde a la incertidumbre de medición expandida que resulta de la incertidumbre combinada  multiplicada por el factor de cobertura K= 2  Evaluada según  Guía </t>
    </r>
    <r>
      <rPr>
        <b/>
        <sz val="12"/>
        <color theme="1"/>
        <rFont val="Arial Narrow"/>
        <family val="2"/>
      </rPr>
      <t>SIM MWG7/cg-01/v.00.</t>
    </r>
  </si>
  <si>
    <t>………………………………..FIN DE ESTE DOCUMENTO………………………………..</t>
  </si>
  <si>
    <r>
      <rPr>
        <b/>
        <i/>
        <sz val="10"/>
        <color theme="1"/>
        <rFont val="Arial Narrow"/>
        <family val="2"/>
      </rPr>
      <t>EXCENTRICIDAD</t>
    </r>
    <r>
      <rPr>
        <b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                   </t>
    </r>
  </si>
  <si>
    <r>
      <rPr>
        <b/>
        <sz val="12"/>
        <color theme="1"/>
        <rFont val="Arial Narrow"/>
        <family val="2"/>
      </rPr>
      <t>· </t>
    </r>
    <r>
      <rPr>
        <sz val="12"/>
        <color theme="1"/>
        <rFont val="Arial Narrow"/>
        <family val="2"/>
      </rPr>
      <t>    Revisar periódicamente el comportamiento de la balanza mediante el control de pesas calibradas.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</si>
  <si>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El desplazamiento de la  balanza a otro lugar con otras condiciones puede invalidar la calibración.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</si>
  <si>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La balanza debe ubicarse en una base apropiada para evitar vibraciones.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</si>
  <si>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En este certificado el signo decimal es la coma (,).</t>
    </r>
  </si>
  <si>
    <r>
      <t xml:space="preserve">3.   RESULTADOS DEL EXAMEN FÍSICO </t>
    </r>
    <r>
      <rPr>
        <sz val="10"/>
        <color theme="1"/>
        <rFont val="Arial Narrow"/>
        <family val="2"/>
      </rPr>
      <t xml:space="preserve">         </t>
    </r>
    <r>
      <rPr>
        <sz val="12"/>
        <color theme="1"/>
        <rFont val="Arial Narrow"/>
        <family val="2"/>
      </rPr>
      <t>El equipo se encuentra en buenas condiciones</t>
    </r>
  </si>
  <si>
    <t>FECHA DE CALIBRACIÓN</t>
  </si>
  <si>
    <t>CLASE DE PESAS</t>
  </si>
  <si>
    <t>6.   LUGAR Y DIRECCIÓN DE CALIBRACION :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</si>
  <si>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</si>
  <si>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</si>
  <si>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</si>
  <si>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</si>
  <si>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</si>
  <si>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</si>
  <si>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</si>
  <si>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</si>
  <si>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</si>
  <si>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</si>
  <si>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</si>
  <si>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</si>
  <si>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Estima el desempeño del instrumento en el alcance total de su medición.</t>
  </si>
  <si>
    <t>DIF. (g)</t>
  </si>
  <si>
    <t>Sartorius</t>
  </si>
  <si>
    <t>13.   INCERTIDUMBRE DE LA MEDICIÓN.</t>
  </si>
  <si>
    <t>Indicación 1(g)</t>
  </si>
  <si>
    <t>11.   MODELO MATEMÁTICO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</si>
  <si>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</si>
  <si>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</si>
  <si>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</si>
  <si>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</si>
  <si>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</si>
  <si>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</si>
  <si>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</si>
  <si>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</si>
  <si>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</si>
  <si>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</si>
  <si>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</si>
  <si>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</si>
  <si>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</si>
  <si>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</si>
  <si>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</si>
  <si>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</si>
  <si>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</si>
  <si>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</si>
  <si>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</si>
  <si>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</si>
  <si>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</si>
  <si>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</si>
  <si>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</si>
  <si>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</si>
  <si>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</si>
  <si>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</si>
  <si>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</si>
  <si>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</si>
  <si>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</si>
  <si>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</si>
  <si>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</si>
  <si>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</si>
  <si>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</si>
  <si>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</si>
  <si>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</si>
  <si>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</si>
  <si>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</si>
  <si>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</si>
  <si>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</si>
  <si>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</si>
  <si>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</si>
  <si>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</si>
  <si>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</si>
  <si>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</si>
  <si>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</si>
  <si>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</si>
  <si>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</si>
  <si>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</si>
  <si>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</si>
  <si>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</si>
  <si>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</si>
  <si>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</si>
  <si>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</si>
  <si>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</si>
  <si>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</si>
  <si>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</si>
  <si>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</si>
  <si>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</si>
  <si>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</si>
  <si>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</si>
  <si>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</si>
  <si>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</si>
  <si>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</si>
  <si>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</si>
  <si>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</si>
  <si>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</si>
  <si>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</si>
  <si>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</si>
  <si>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</si>
  <si>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</si>
  <si>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</si>
  <si>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</si>
  <si>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</si>
  <si>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</si>
  <si>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</si>
  <si>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</si>
  <si>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</si>
  <si>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</si>
  <si>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</si>
  <si>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</si>
  <si>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</si>
  <si>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</si>
  <si>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</si>
  <si>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</si>
  <si>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</si>
  <si>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</si>
  <si>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</si>
  <si>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</si>
  <si>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</si>
  <si>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</si>
  <si>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</si>
  <si>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</si>
  <si>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</si>
  <si>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</si>
  <si>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</si>
  <si>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</si>
  <si>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</si>
  <si>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</si>
  <si>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</si>
  <si>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</si>
  <si>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</si>
  <si>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</si>
  <si>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</si>
  <si>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</si>
  <si>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</si>
  <si>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</si>
  <si>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</si>
  <si>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</si>
  <si>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</si>
  <si>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</si>
  <si>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</si>
  <si>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</si>
  <si>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</si>
  <si>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</si>
  <si>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</si>
  <si>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</si>
  <si>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</si>
  <si>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</si>
  <si>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</si>
  <si>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</si>
  <si>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</si>
  <si>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</si>
  <si>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r>
      <t xml:space="preserve">masa para completar la carga  </t>
    </r>
    <r>
      <rPr>
        <sz val="11"/>
        <color rgb="FFFF0000"/>
        <rFont val="Arial"/>
        <family val="2"/>
      </rPr>
      <t>Max</t>
    </r>
    <r>
      <rPr>
        <sz val="11"/>
        <color theme="1"/>
        <rFont val="Arial"/>
        <family val="2"/>
      </rPr>
      <t xml:space="preserve"> (g)</t>
    </r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</si>
  <si>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</si>
  <si>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</si>
  <si>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</si>
  <si>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</si>
  <si>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</si>
  <si>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</si>
  <si>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</si>
  <si>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</si>
  <si>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</si>
  <si>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</si>
  <si>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</si>
  <si>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</si>
  <si>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</si>
  <si>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</si>
  <si>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</si>
  <si>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</si>
  <si>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</si>
  <si>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</si>
  <si>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</si>
  <si>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</si>
  <si>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</si>
  <si>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</si>
  <si>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</si>
  <si>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</si>
  <si>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</si>
  <si>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</si>
  <si>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</si>
  <si>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</si>
  <si>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</si>
  <si>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</si>
  <si>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</si>
  <si>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</si>
  <si>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</si>
  <si>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</si>
  <si>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</si>
  <si>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</si>
  <si>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</si>
  <si>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</si>
  <si>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</si>
  <si>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</si>
  <si>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</si>
  <si>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</si>
  <si>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</si>
  <si>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</si>
  <si>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2.   CODIGO INTERNO</t>
  </si>
  <si>
    <t xml:space="preserve"> Fecha de elaboración: 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</si>
  <si>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</si>
  <si>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</si>
  <si>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</si>
  <si>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</si>
  <si>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</si>
  <si>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</si>
  <si>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</si>
  <si>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</si>
  <si>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t>Esta prueba evalúa las indicaciones de una misma carga ubicada en diferentes posiciones del receptor de carga (figura 1), se realizó con (1/3) un tercio de la carga máxima de acuerdo a la Guía SIM MWG7/cg-01/v.00, numeral 5,3.</t>
  </si>
  <si>
    <t xml:space="preserve"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MWG7/cg-01/v.00, 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</si>
  <si>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</si>
  <si>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</si>
  <si>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Bogotá. D.C.</t>
  </si>
  <si>
    <r>
      <rPr>
        <b/>
        <sz val="12"/>
        <color theme="1"/>
        <rFont val="Arial Narrow"/>
        <family val="2"/>
      </rPr>
      <t xml:space="preserve">·   </t>
    </r>
    <r>
      <rPr>
        <sz val="12"/>
        <color theme="1"/>
        <rFont val="Arial Narrow"/>
        <family val="2"/>
      </rPr>
      <t>  La conformidad del equipo es responsabilidad del usuario según el uso y tolerancias establecidas                      .en los procesos.</t>
    </r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</si>
  <si>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</si>
  <si>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</si>
  <si>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</si>
  <si>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</si>
  <si>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</si>
  <si>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</si>
  <si>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</si>
  <si>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</si>
  <si>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</si>
  <si>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</si>
  <si>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</si>
  <si>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</si>
  <si>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</si>
  <si>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</si>
  <si>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</si>
  <si>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</si>
  <si>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>Metrologó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</si>
  <si>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</si>
  <si>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</si>
  <si>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</si>
  <si>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</si>
  <si>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</si>
  <si>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</si>
  <si>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</si>
  <si>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</si>
  <si>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</si>
  <si>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</si>
  <si>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</si>
  <si>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</si>
  <si>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</si>
  <si>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</si>
  <si>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</si>
  <si>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</si>
  <si>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</si>
  <si>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</si>
  <si>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</si>
  <si>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</si>
  <si>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</si>
  <si>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</si>
  <si>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HOJA DE CALCULO SUPLEMENTO DE  CALIBRACIÓN DE BALANZAS</t>
  </si>
  <si>
    <t>Condiciones Ambientales Promedios</t>
  </si>
  <si>
    <t>Condiciones Ambientales Corregidas</t>
  </si>
  <si>
    <t>Balanza Digital</t>
  </si>
  <si>
    <t>U (E) (g) =</t>
  </si>
  <si>
    <t>8.   CONDICIONES AMBIENTALES CORREGIDAS.</t>
  </si>
  <si>
    <t>Error de Indicación en g</t>
  </si>
  <si>
    <r>
      <t>Este Suplemento de Certificado de calibración documenta que el instrumento se examinó y  se comparó en las instalaciones del cliente, l</t>
    </r>
    <r>
      <rPr>
        <b/>
        <i/>
        <sz val="10"/>
        <rFont val="Arial"/>
        <family val="2"/>
      </rPr>
      <t>os patrones empleados en la calibración documentan la trazabilidad conforme  al Sistema Internacional de Unidades (SI).</t>
    </r>
  </si>
  <si>
    <r>
      <t>En la calibración de Balanzas se utilizó el</t>
    </r>
    <r>
      <rPr>
        <b/>
        <i/>
        <sz val="12"/>
        <rFont val="Arial Narrow"/>
        <family val="2"/>
      </rPr>
      <t xml:space="preserve"> procedimiento interno RT03-P05 Versión 1</t>
    </r>
    <r>
      <rPr>
        <sz val="12"/>
        <rFont val="Arial Narrow"/>
        <family val="2"/>
      </rPr>
      <t>, siguiendo los lineamientos, Guía para la calibración de los instrumentos para pesaje de funcionamiento no automático (SIM MWG7/cg-01v.00 - EURAMET/cg-18/v.02),aplicando las siguientes pruebas:</t>
    </r>
  </si>
  <si>
    <r>
      <t>La prueba para los errores de las indicaciones se realizó según el numeral  5,</t>
    </r>
    <r>
      <rPr>
        <sz val="12"/>
        <rFont val="Arial Narrow"/>
        <family val="2"/>
      </rPr>
      <t>2.</t>
    </r>
    <r>
      <rPr>
        <sz val="12"/>
        <color theme="1"/>
        <rFont val="Arial Narrow"/>
        <family val="2"/>
      </rPr>
      <t xml:space="preserve"> de la Guía SIM MWG7/cg-01/v.00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</si>
</sst>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i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1"/>
      <color rgb="FFFF000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2"/>
      <color theme="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844">
    <xf numFmtId="0" fontId="0" fillId="0" borderId="0" xfId="0"/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168" fontId="6" fillId="0" borderId="0" xfId="0" applyNumberFormat="1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1" fontId="6" fillId="0" borderId="0" xfId="0" applyNumberFormat="1" applyFont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Border="1" applyAlignment="1">
      <alignment horizontal="left" vertical="center" wrapText="1"/>
    </xf>
    <xf numFmtId="168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69" fontId="8" fillId="2" borderId="1" xfId="0" applyNumberFormat="1" applyFont="1" applyFill="1" applyBorder="1" applyAlignment="1" applyProtection="1">
      <alignment horizontal="center" vertical="center" wrapText="1"/>
    </xf>
    <xf numFmtId="171" fontId="7" fillId="0" borderId="0" xfId="0" applyNumberFormat="1" applyFont="1" applyBorder="1" applyAlignment="1">
      <alignment horizontal="left" vertical="center" wrapText="1"/>
    </xf>
    <xf numFmtId="169" fontId="8" fillId="2" borderId="0" xfId="0" applyNumberFormat="1" applyFont="1" applyFill="1" applyBorder="1" applyAlignment="1" applyProtection="1">
      <alignment horizontal="center" vertical="center" wrapText="1"/>
    </xf>
    <xf numFmtId="166" fontId="8" fillId="2" borderId="0" xfId="0" applyNumberFormat="1" applyFont="1" applyFill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left" vertical="center" wrapText="1"/>
    </xf>
    <xf numFmtId="168" fontId="8" fillId="0" borderId="6" xfId="0" applyNumberFormat="1" applyFont="1" applyBorder="1" applyAlignment="1">
      <alignment horizontal="left" vertical="center" wrapText="1"/>
    </xf>
    <xf numFmtId="1" fontId="8" fillId="0" borderId="6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2" fontId="8" fillId="0" borderId="0" xfId="0" applyNumberFormat="1" applyFont="1"/>
    <xf numFmtId="171" fontId="8" fillId="0" borderId="18" xfId="0" applyNumberFormat="1" applyFont="1" applyBorder="1" applyAlignment="1">
      <alignment horizontal="center" vertical="center" wrapText="1"/>
    </xf>
    <xf numFmtId="171" fontId="8" fillId="0" borderId="20" xfId="0" applyNumberFormat="1" applyFont="1" applyBorder="1" applyAlignment="1">
      <alignment horizontal="center" vertical="center" wrapText="1"/>
    </xf>
    <xf numFmtId="169" fontId="8" fillId="0" borderId="20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2" fontId="26" fillId="15" borderId="0" xfId="3" applyFont="1" applyFill="1" applyBorder="1" applyAlignment="1">
      <alignment horizontal="center" vertical="center" wrapText="1"/>
      <protection locked="0"/>
    </xf>
    <xf numFmtId="166" fontId="8" fillId="2" borderId="20" xfId="0" applyNumberFormat="1" applyFont="1" applyFill="1" applyBorder="1" applyAlignment="1" applyProtection="1">
      <alignment horizontal="center" vertical="center" wrapText="1"/>
    </xf>
    <xf numFmtId="2" fontId="9" fillId="2" borderId="9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justify" wrapText="1"/>
    </xf>
    <xf numFmtId="2" fontId="18" fillId="0" borderId="0" xfId="0" applyNumberFormat="1" applyFo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2" fontId="18" fillId="2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2" fontId="18" fillId="2" borderId="0" xfId="0" applyNumberFormat="1" applyFont="1" applyFill="1" applyBorder="1" applyProtection="1">
      <protection hidden="1"/>
    </xf>
    <xf numFmtId="2" fontId="18" fillId="0" borderId="0" xfId="0" applyNumberFormat="1" applyFont="1" applyFill="1" applyBorder="1" applyProtection="1">
      <protection hidden="1"/>
    </xf>
    <xf numFmtId="2" fontId="18" fillId="2" borderId="0" xfId="0" applyNumberFormat="1" applyFont="1" applyFill="1" applyProtection="1">
      <protection hidden="1"/>
    </xf>
    <xf numFmtId="2" fontId="19" fillId="0" borderId="0" xfId="2" applyNumberFormat="1" applyFont="1" applyFill="1" applyBorder="1" applyAlignment="1" applyProtection="1">
      <alignment horizontal="center" vertical="center"/>
      <protection hidden="1"/>
    </xf>
    <xf numFmtId="2" fontId="20" fillId="0" borderId="0" xfId="2" applyNumberFormat="1" applyFont="1" applyFill="1" applyBorder="1" applyAlignment="1" applyProtection="1">
      <alignment horizontal="center" vertical="center"/>
      <protection hidden="1"/>
    </xf>
    <xf numFmtId="2" fontId="19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2" applyNumberFormat="1" applyFont="1" applyFill="1" applyBorder="1" applyAlignment="1" applyProtection="1">
      <alignment vertical="center"/>
      <protection hidden="1"/>
    </xf>
    <xf numFmtId="2" fontId="20" fillId="0" borderId="0" xfId="2" applyNumberFormat="1" applyFont="1" applyFill="1" applyBorder="1" applyAlignment="1" applyProtection="1">
      <alignment vertical="center" wrapText="1"/>
      <protection hidden="1"/>
    </xf>
    <xf numFmtId="2" fontId="18" fillId="2" borderId="0" xfId="0" applyNumberFormat="1" applyFont="1" applyFill="1" applyBorder="1" applyAlignment="1" applyProtection="1">
      <alignment vertical="center"/>
      <protection hidden="1"/>
    </xf>
    <xf numFmtId="2" fontId="20" fillId="0" borderId="0" xfId="2" applyNumberFormat="1" applyFont="1" applyFill="1" applyBorder="1" applyAlignment="1" applyProtection="1">
      <protection hidden="1"/>
    </xf>
    <xf numFmtId="2" fontId="18" fillId="0" borderId="0" xfId="0" applyNumberFormat="1" applyFont="1" applyAlignment="1" applyProtection="1">
      <alignment vertical="center"/>
      <protection hidden="1"/>
    </xf>
    <xf numFmtId="2" fontId="20" fillId="0" borderId="0" xfId="2" applyNumberFormat="1" applyFont="1" applyFill="1" applyBorder="1" applyAlignment="1" applyProtection="1">
      <alignment horizontal="center"/>
      <protection hidden="1"/>
    </xf>
    <xf numFmtId="2" fontId="20" fillId="0" borderId="0" xfId="2" applyNumberFormat="1" applyFont="1" applyFill="1" applyBorder="1" applyProtection="1">
      <protection hidden="1"/>
    </xf>
    <xf numFmtId="2" fontId="19" fillId="0" borderId="0" xfId="2" applyNumberFormat="1" applyFont="1" applyFill="1" applyBorder="1" applyAlignment="1" applyProtection="1">
      <protection hidden="1"/>
    </xf>
    <xf numFmtId="2" fontId="19" fillId="0" borderId="0" xfId="2" applyNumberFormat="1" applyFont="1" applyFill="1" applyBorder="1" applyAlignment="1" applyProtection="1">
      <alignment vertical="center"/>
      <protection hidden="1"/>
    </xf>
    <xf numFmtId="2" fontId="18" fillId="0" borderId="0" xfId="0" applyNumberFormat="1" applyFont="1" applyFill="1" applyBorder="1" applyAlignment="1" applyProtection="1">
      <alignment vertical="center"/>
      <protection hidden="1"/>
    </xf>
    <xf numFmtId="2" fontId="19" fillId="6" borderId="18" xfId="2" applyNumberFormat="1" applyFont="1" applyFill="1" applyBorder="1" applyAlignment="1" applyProtection="1">
      <protection hidden="1"/>
    </xf>
    <xf numFmtId="2" fontId="19" fillId="6" borderId="20" xfId="2" applyNumberFormat="1" applyFont="1" applyFill="1" applyBorder="1" applyAlignment="1" applyProtection="1">
      <protection hidden="1"/>
    </xf>
    <xf numFmtId="2" fontId="20" fillId="6" borderId="20" xfId="2" applyNumberFormat="1" applyFont="1" applyFill="1" applyBorder="1" applyAlignment="1" applyProtection="1">
      <alignment horizontal="center"/>
      <protection hidden="1"/>
    </xf>
    <xf numFmtId="2" fontId="18" fillId="6" borderId="3" xfId="0" applyNumberFormat="1" applyFont="1" applyFill="1" applyBorder="1" applyAlignment="1" applyProtection="1">
      <alignment vertical="center"/>
      <protection hidden="1"/>
    </xf>
    <xf numFmtId="2" fontId="18" fillId="6" borderId="1" xfId="0" applyNumberFormat="1" applyFont="1" applyFill="1" applyBorder="1" applyAlignment="1" applyProtection="1">
      <alignment vertical="center"/>
      <protection hidden="1"/>
    </xf>
    <xf numFmtId="2" fontId="19" fillId="6" borderId="3" xfId="2" applyNumberFormat="1" applyFont="1" applyFill="1" applyBorder="1" applyAlignment="1" applyProtection="1">
      <alignment vertical="center" wrapText="1"/>
      <protection hidden="1"/>
    </xf>
    <xf numFmtId="2" fontId="19" fillId="6" borderId="1" xfId="2" applyNumberFormat="1" applyFont="1" applyFill="1" applyBorder="1" applyAlignment="1" applyProtection="1">
      <alignment vertical="center" wrapText="1"/>
      <protection hidden="1"/>
    </xf>
    <xf numFmtId="2" fontId="19" fillId="6" borderId="27" xfId="2" applyNumberFormat="1" applyFont="1" applyFill="1" applyBorder="1" applyAlignment="1" applyProtection="1">
      <alignment horizontal="center"/>
      <protection hidden="1"/>
    </xf>
    <xf numFmtId="2" fontId="19" fillId="6" borderId="31" xfId="2" applyNumberFormat="1" applyFont="1" applyFill="1" applyBorder="1" applyAlignment="1" applyProtection="1">
      <alignment horizontal="center"/>
      <protection hidden="1"/>
    </xf>
    <xf numFmtId="2" fontId="18" fillId="6" borderId="20" xfId="0" applyNumberFormat="1" applyFont="1" applyFill="1" applyBorder="1" applyAlignment="1" applyProtection="1">
      <alignment vertical="center"/>
      <protection hidden="1"/>
    </xf>
    <xf numFmtId="2" fontId="18" fillId="6" borderId="27" xfId="0" applyNumberFormat="1" applyFont="1" applyFill="1" applyBorder="1" applyAlignment="1" applyProtection="1">
      <alignment vertical="center"/>
      <protection hidden="1"/>
    </xf>
    <xf numFmtId="177" fontId="19" fillId="0" borderId="0" xfId="2" applyNumberFormat="1" applyFont="1" applyFill="1" applyBorder="1" applyAlignment="1" applyProtection="1">
      <protection hidden="1"/>
    </xf>
    <xf numFmtId="2" fontId="18" fillId="6" borderId="1" xfId="0" applyNumberFormat="1" applyFont="1" applyFill="1" applyBorder="1" applyAlignment="1" applyProtection="1">
      <alignment horizontal="center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20" xfId="0" applyNumberFormat="1" applyFont="1" applyFill="1" applyBorder="1" applyAlignment="1" applyProtection="1">
      <alignment horizontal="center" vertical="center"/>
      <protection hidden="1"/>
    </xf>
    <xf numFmtId="2" fontId="20" fillId="0" borderId="0" xfId="2" applyNumberFormat="1" applyFont="1" applyFill="1" applyBorder="1" applyAlignment="1" applyProtection="1">
      <alignment horizontal="right" vertical="center"/>
      <protection hidden="1"/>
    </xf>
    <xf numFmtId="1" fontId="18" fillId="0" borderId="0" xfId="0" applyNumberFormat="1" applyFont="1" applyAlignment="1" applyProtection="1">
      <alignment horizontal="left" vertical="center"/>
      <protection hidden="1"/>
    </xf>
    <xf numFmtId="2" fontId="18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2" fontId="24" fillId="6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37" xfId="0" applyNumberFormat="1" applyFont="1" applyFill="1" applyBorder="1" applyAlignment="1" applyProtection="1">
      <alignment horizontal="center" vertical="center"/>
      <protection hidden="1"/>
    </xf>
    <xf numFmtId="1" fontId="18" fillId="9" borderId="37" xfId="0" applyNumberFormat="1" applyFont="1" applyFill="1" applyBorder="1" applyAlignment="1" applyProtection="1">
      <alignment horizontal="center" vertical="center"/>
      <protection hidden="1"/>
    </xf>
    <xf numFmtId="1" fontId="24" fillId="6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1" xfId="0" applyNumberFormat="1" applyFont="1" applyFill="1" applyBorder="1" applyAlignment="1" applyProtection="1">
      <alignment horizontal="center" vertical="center"/>
      <protection hidden="1"/>
    </xf>
    <xf numFmtId="1" fontId="24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1" xfId="0" applyNumberFormat="1" applyFont="1" applyFill="1" applyBorder="1" applyAlignment="1" applyProtection="1">
      <alignment horizontal="center" vertical="center" wrapText="1"/>
      <protection hidden="1"/>
    </xf>
    <xf numFmtId="171" fontId="24" fillId="9" borderId="1" xfId="0" applyNumberFormat="1" applyFont="1" applyFill="1" applyBorder="1" applyAlignment="1" applyProtection="1">
      <alignment horizontal="center" vertical="center"/>
      <protection hidden="1"/>
    </xf>
    <xf numFmtId="2" fontId="24" fillId="6" borderId="1" xfId="0" applyNumberFormat="1" applyFont="1" applyFill="1" applyBorder="1" applyAlignment="1" applyProtection="1">
      <alignment horizontal="center" wrapText="1"/>
      <protection hidden="1"/>
    </xf>
    <xf numFmtId="2" fontId="24" fillId="9" borderId="1" xfId="0" applyNumberFormat="1" applyFont="1" applyFill="1" applyBorder="1" applyAlignment="1" applyProtection="1">
      <alignment horizontal="center" vertical="center"/>
      <protection hidden="1"/>
    </xf>
    <xf numFmtId="171" fontId="18" fillId="2" borderId="0" xfId="0" applyNumberFormat="1" applyFont="1" applyFill="1" applyBorder="1" applyProtection="1">
      <protection hidden="1"/>
    </xf>
    <xf numFmtId="2" fontId="18" fillId="0" borderId="0" xfId="0" applyNumberFormat="1" applyFont="1" applyFill="1" applyProtection="1">
      <protection hidden="1"/>
    </xf>
    <xf numFmtId="1" fontId="18" fillId="6" borderId="1" xfId="0" applyNumberFormat="1" applyFont="1" applyFill="1" applyBorder="1" applyAlignment="1" applyProtection="1">
      <alignment horizontal="center" vertical="center"/>
      <protection hidden="1"/>
    </xf>
    <xf numFmtId="1" fontId="18" fillId="6" borderId="20" xfId="0" applyNumberFormat="1" applyFont="1" applyFill="1" applyBorder="1" applyAlignment="1" applyProtection="1">
      <alignment horizontal="center" vertical="center"/>
      <protection hidden="1"/>
    </xf>
    <xf numFmtId="1" fontId="1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 vertical="center"/>
      <protection hidden="1"/>
    </xf>
    <xf numFmtId="2" fontId="18" fillId="9" borderId="1" xfId="0" applyNumberFormat="1" applyFont="1" applyFill="1" applyBorder="1" applyAlignment="1" applyProtection="1">
      <alignment horizontal="center" vertical="center"/>
      <protection hidden="1"/>
    </xf>
    <xf numFmtId="164" fontId="18" fillId="9" borderId="1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Border="1" applyProtection="1">
      <protection hidden="1"/>
    </xf>
    <xf numFmtId="2" fontId="1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20" xfId="0" applyNumberFormat="1" applyFont="1" applyFill="1" applyBorder="1" applyAlignment="1" applyProtection="1">
      <alignment horizontal="left" vertical="center"/>
      <protection hidden="1"/>
    </xf>
    <xf numFmtId="166" fontId="18" fillId="6" borderId="1" xfId="0" applyNumberFormat="1" applyFont="1" applyFill="1" applyBorder="1" applyAlignment="1" applyProtection="1">
      <alignment horizontal="center" vertical="center"/>
      <protection hidden="1"/>
    </xf>
    <xf numFmtId="166" fontId="18" fillId="9" borderId="1" xfId="0" applyNumberFormat="1" applyFont="1" applyFill="1" applyBorder="1" applyAlignment="1" applyProtection="1">
      <alignment horizontal="center" vertical="center"/>
      <protection hidden="1"/>
    </xf>
    <xf numFmtId="165" fontId="18" fillId="9" borderId="1" xfId="0" applyNumberFormat="1" applyFont="1" applyFill="1" applyBorder="1" applyAlignment="1" applyProtection="1">
      <alignment horizontal="center" vertical="center"/>
      <protection hidden="1"/>
    </xf>
    <xf numFmtId="169" fontId="18" fillId="6" borderId="1" xfId="0" applyNumberFormat="1" applyFont="1" applyFill="1" applyBorder="1" applyAlignment="1" applyProtection="1">
      <alignment horizontal="center" vertical="center"/>
      <protection hidden="1"/>
    </xf>
    <xf numFmtId="2" fontId="18" fillId="10" borderId="1" xfId="0" applyNumberFormat="1" applyFont="1" applyFill="1" applyBorder="1" applyAlignment="1" applyProtection="1">
      <alignment horizontal="center" vertical="center"/>
      <protection hidden="1"/>
    </xf>
    <xf numFmtId="2" fontId="18" fillId="0" borderId="20" xfId="0" applyNumberFormat="1" applyFont="1" applyBorder="1" applyProtection="1"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171" fontId="18" fillId="9" borderId="1" xfId="0" applyNumberFormat="1" applyFont="1" applyFill="1" applyBorder="1" applyAlignment="1" applyProtection="1">
      <alignment horizontal="center" vertical="center"/>
      <protection hidden="1"/>
    </xf>
    <xf numFmtId="169" fontId="18" fillId="0" borderId="0" xfId="0" applyNumberFormat="1" applyFont="1" applyFill="1" applyBorder="1" applyProtection="1">
      <protection hidden="1"/>
    </xf>
    <xf numFmtId="2" fontId="20" fillId="6" borderId="20" xfId="0" applyNumberFormat="1" applyFont="1" applyFill="1" applyBorder="1" applyAlignment="1" applyProtection="1">
      <alignment horizontal="center" vertical="center"/>
      <protection hidden="1"/>
    </xf>
    <xf numFmtId="2" fontId="25" fillId="3" borderId="9" xfId="0" applyNumberFormat="1" applyFont="1" applyFill="1" applyBorder="1" applyAlignment="1" applyProtection="1">
      <alignment horizontal="center" vertical="center"/>
      <protection hidden="1"/>
    </xf>
    <xf numFmtId="2" fontId="26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20" fillId="9" borderId="1" xfId="0" applyNumberFormat="1" applyFont="1" applyFill="1" applyBorder="1" applyAlignment="1" applyProtection="1">
      <alignment horizontal="center" vertical="center"/>
      <protection hidden="1"/>
    </xf>
    <xf numFmtId="2" fontId="20" fillId="9" borderId="20" xfId="0" applyNumberFormat="1" applyFont="1" applyFill="1" applyBorder="1" applyAlignment="1" applyProtection="1">
      <alignment horizontal="center"/>
      <protection hidden="1"/>
    </xf>
    <xf numFmtId="1" fontId="20" fillId="9" borderId="20" xfId="0" applyNumberFormat="1" applyFont="1" applyFill="1" applyBorder="1" applyAlignment="1" applyProtection="1">
      <alignment horizontal="center"/>
      <protection hidden="1"/>
    </xf>
    <xf numFmtId="2" fontId="20" fillId="9" borderId="1" xfId="0" applyNumberFormat="1" applyFont="1" applyFill="1" applyBorder="1" applyAlignment="1" applyProtection="1">
      <alignment horizontal="center"/>
      <protection hidden="1"/>
    </xf>
    <xf numFmtId="1" fontId="20" fillId="9" borderId="1" xfId="0" applyNumberFormat="1" applyFont="1" applyFill="1" applyBorder="1" applyAlignment="1" applyProtection="1">
      <alignment horizontal="center"/>
      <protection hidden="1"/>
    </xf>
    <xf numFmtId="166" fontId="19" fillId="9" borderId="33" xfId="0" applyNumberFormat="1" applyFont="1" applyFill="1" applyBorder="1" applyAlignment="1" applyProtection="1">
      <alignment horizontal="center" vertical="center"/>
      <protection hidden="1"/>
    </xf>
    <xf numFmtId="167" fontId="20" fillId="9" borderId="20" xfId="0" applyNumberFormat="1" applyFont="1" applyFill="1" applyBorder="1" applyAlignment="1" applyProtection="1">
      <alignment horizontal="center" vertical="center"/>
      <protection hidden="1"/>
    </xf>
    <xf numFmtId="167" fontId="20" fillId="9" borderId="1" xfId="0" applyNumberFormat="1" applyFont="1" applyFill="1" applyBorder="1" applyAlignment="1" applyProtection="1">
      <alignment horizontal="center" vertical="center"/>
      <protection hidden="1"/>
    </xf>
    <xf numFmtId="167" fontId="19" fillId="9" borderId="33" xfId="0" applyNumberFormat="1" applyFont="1" applyFill="1" applyBorder="1" applyAlignment="1" applyProtection="1">
      <alignment horizontal="center" vertical="center"/>
      <protection hidden="1"/>
    </xf>
    <xf numFmtId="2" fontId="20" fillId="6" borderId="2" xfId="0" applyNumberFormat="1" applyFont="1" applyFill="1" applyBorder="1" applyProtection="1">
      <protection hidden="1"/>
    </xf>
    <xf numFmtId="2" fontId="20" fillId="6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19" xfId="0" applyNumberFormat="1" applyFont="1" applyFill="1" applyBorder="1" applyAlignment="1" applyProtection="1">
      <alignment horizontal="center" vertical="center"/>
      <protection hidden="1"/>
    </xf>
    <xf numFmtId="165" fontId="27" fillId="3" borderId="51" xfId="0" applyNumberFormat="1" applyFont="1" applyFill="1" applyBorder="1" applyAlignment="1" applyProtection="1">
      <alignment horizontal="center" vertical="center"/>
      <protection hidden="1"/>
    </xf>
    <xf numFmtId="165" fontId="27" fillId="3" borderId="52" xfId="0" applyNumberFormat="1" applyFont="1" applyFill="1" applyBorder="1" applyAlignment="1" applyProtection="1">
      <alignment horizontal="center" vertical="center"/>
      <protection hidden="1"/>
    </xf>
    <xf numFmtId="165" fontId="27" fillId="3" borderId="53" xfId="0" applyNumberFormat="1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25" xfId="0" applyNumberFormat="1" applyFont="1" applyFill="1" applyBorder="1" applyAlignment="1" applyProtection="1">
      <alignment vertical="center" wrapText="1"/>
      <protection hidden="1"/>
    </xf>
    <xf numFmtId="1" fontId="18" fillId="9" borderId="1" xfId="0" applyNumberFormat="1" applyFont="1" applyFill="1" applyBorder="1" applyAlignment="1" applyProtection="1">
      <alignment horizontal="center" vertical="center"/>
      <protection hidden="1"/>
    </xf>
    <xf numFmtId="1" fontId="18" fillId="9" borderId="3" xfId="0" applyNumberFormat="1" applyFont="1" applyFill="1" applyBorder="1" applyAlignment="1" applyProtection="1">
      <alignment horizontal="center" vertical="center"/>
      <protection hidden="1"/>
    </xf>
    <xf numFmtId="2" fontId="24" fillId="6" borderId="2" xfId="0" applyNumberFormat="1" applyFont="1" applyFill="1" applyBorder="1" applyAlignment="1" applyProtection="1">
      <alignment vertical="center" wrapText="1"/>
      <protection hidden="1"/>
    </xf>
    <xf numFmtId="2" fontId="18" fillId="6" borderId="19" xfId="0" applyNumberFormat="1" applyFont="1" applyFill="1" applyBorder="1" applyProtection="1">
      <protection hidden="1"/>
    </xf>
    <xf numFmtId="2" fontId="24" fillId="6" borderId="3" xfId="0" applyNumberFormat="1" applyFont="1" applyFill="1" applyBorder="1" applyAlignment="1" applyProtection="1">
      <alignment horizontal="left" vertical="center" wrapText="1"/>
      <protection hidden="1"/>
    </xf>
    <xf numFmtId="165" fontId="24" fillId="9" borderId="29" xfId="0" applyNumberFormat="1" applyFont="1" applyFill="1" applyBorder="1" applyAlignment="1" applyProtection="1">
      <alignment horizontal="center" vertical="center"/>
      <protection hidden="1"/>
    </xf>
    <xf numFmtId="165" fontId="24" fillId="9" borderId="33" xfId="0" applyNumberFormat="1" applyFont="1" applyFill="1" applyBorder="1" applyAlignment="1" applyProtection="1">
      <alignment horizontal="center" vertical="center"/>
      <protection hidden="1"/>
    </xf>
    <xf numFmtId="1" fontId="18" fillId="9" borderId="18" xfId="0" applyNumberFormat="1" applyFont="1" applyFill="1" applyBorder="1" applyAlignment="1" applyProtection="1">
      <alignment horizontal="center" vertical="center"/>
      <protection hidden="1"/>
    </xf>
    <xf numFmtId="1" fontId="18" fillId="9" borderId="20" xfId="0" applyNumberFormat="1" applyFont="1" applyFill="1" applyBorder="1" applyAlignment="1" applyProtection="1">
      <alignment horizontal="center" vertical="center"/>
      <protection hidden="1"/>
    </xf>
    <xf numFmtId="165" fontId="19" fillId="9" borderId="18" xfId="0" applyNumberFormat="1" applyFont="1" applyFill="1" applyBorder="1" applyAlignment="1" applyProtection="1">
      <alignment horizontal="center" vertical="center"/>
      <protection hidden="1"/>
    </xf>
    <xf numFmtId="165" fontId="19" fillId="9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19" xfId="0" applyNumberFormat="1" applyFont="1" applyFill="1" applyBorder="1" applyAlignment="1" applyProtection="1">
      <alignment vertical="center" wrapText="1"/>
      <protection hidden="1"/>
    </xf>
    <xf numFmtId="2" fontId="18" fillId="6" borderId="3" xfId="0" applyNumberFormat="1" applyFont="1" applyFill="1" applyBorder="1" applyAlignment="1" applyProtection="1">
      <alignment horizontal="center" vertical="center"/>
      <protection hidden="1"/>
    </xf>
    <xf numFmtId="167" fontId="19" fillId="9" borderId="20" xfId="0" applyNumberFormat="1" applyFont="1" applyFill="1" applyBorder="1" applyAlignment="1" applyProtection="1">
      <alignment horizontal="center" vertical="center"/>
      <protection hidden="1"/>
    </xf>
    <xf numFmtId="10" fontId="19" fillId="9" borderId="3" xfId="1" applyNumberFormat="1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2" fontId="25" fillId="3" borderId="0" xfId="0" applyNumberFormat="1" applyFont="1" applyFill="1" applyBorder="1" applyAlignment="1" applyProtection="1">
      <alignment vertical="center"/>
      <protection hidden="1"/>
    </xf>
    <xf numFmtId="1" fontId="19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Fill="1" applyBorder="1" applyProtection="1">
      <protection hidden="1"/>
    </xf>
    <xf numFmtId="2" fontId="29" fillId="6" borderId="27" xfId="0" applyNumberFormat="1" applyFont="1" applyFill="1" applyBorder="1" applyAlignment="1" applyProtection="1">
      <alignment horizontal="center" vertical="center"/>
      <protection hidden="1"/>
    </xf>
    <xf numFmtId="2" fontId="29" fillId="6" borderId="31" xfId="0" applyNumberFormat="1" applyFont="1" applyFill="1" applyBorder="1" applyAlignment="1" applyProtection="1">
      <alignment horizontal="centerContinuous" vertical="center" wrapText="1"/>
      <protection hidden="1"/>
    </xf>
    <xf numFmtId="2" fontId="29" fillId="6" borderId="30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20" xfId="0" applyNumberFormat="1" applyFont="1" applyFill="1" applyBorder="1" applyProtection="1">
      <protection hidden="1"/>
    </xf>
    <xf numFmtId="2" fontId="18" fillId="6" borderId="17" xfId="0" applyNumberFormat="1" applyFont="1" applyFill="1" applyBorder="1" applyAlignment="1" applyProtection="1">
      <alignment horizontal="centerContinuous"/>
      <protection hidden="1"/>
    </xf>
    <xf numFmtId="2" fontId="18" fillId="6" borderId="18" xfId="0" applyNumberFormat="1" applyFont="1" applyFill="1" applyBorder="1" applyAlignment="1" applyProtection="1">
      <alignment horizontal="centerContinuous"/>
      <protection hidden="1"/>
    </xf>
    <xf numFmtId="174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18" fillId="9" borderId="2" xfId="1" applyNumberFormat="1" applyFont="1" applyFill="1" applyBorder="1" applyAlignment="1" applyProtection="1">
      <alignment vertical="center" wrapText="1"/>
      <protection hidden="1"/>
    </xf>
    <xf numFmtId="174" fontId="18" fillId="9" borderId="3" xfId="1" applyNumberFormat="1" applyFont="1" applyFill="1" applyBorder="1" applyAlignment="1" applyProtection="1">
      <alignment vertical="center" wrapText="1"/>
      <protection hidden="1"/>
    </xf>
    <xf numFmtId="174" fontId="18" fillId="9" borderId="1" xfId="1" applyNumberFormat="1" applyFont="1" applyFill="1" applyBorder="1" applyAlignment="1" applyProtection="1">
      <alignment horizontal="center" vertical="center" wrapText="1"/>
      <protection hidden="1"/>
    </xf>
    <xf numFmtId="174" fontId="18" fillId="9" borderId="3" xfId="0" applyNumberFormat="1" applyFont="1" applyFill="1" applyBorder="1" applyAlignment="1" applyProtection="1">
      <alignment vertical="center" wrapText="1"/>
      <protection hidden="1"/>
    </xf>
    <xf numFmtId="174" fontId="21" fillId="9" borderId="3" xfId="0" applyNumberFormat="1" applyFont="1" applyFill="1" applyBorder="1" applyAlignment="1" applyProtection="1">
      <alignment vertical="center" wrapText="1"/>
      <protection hidden="1"/>
    </xf>
    <xf numFmtId="174" fontId="24" fillId="9" borderId="1" xfId="0" applyNumberFormat="1" applyFont="1" applyFill="1" applyBorder="1" applyProtection="1">
      <protection hidden="1"/>
    </xf>
    <xf numFmtId="173" fontId="18" fillId="2" borderId="0" xfId="0" applyNumberFormat="1" applyFont="1" applyFill="1" applyBorder="1" applyProtection="1">
      <protection hidden="1"/>
    </xf>
    <xf numFmtId="2" fontId="32" fillId="3" borderId="0" xfId="0" applyNumberFormat="1" applyFont="1" applyFill="1" applyBorder="1" applyAlignment="1" applyProtection="1">
      <alignment horizontal="left" vertical="center"/>
      <protection hidden="1"/>
    </xf>
    <xf numFmtId="2" fontId="25" fillId="3" borderId="0" xfId="0" applyNumberFormat="1" applyFont="1" applyFill="1" applyBorder="1" applyProtection="1">
      <protection hidden="1"/>
    </xf>
    <xf numFmtId="167" fontId="18" fillId="9" borderId="1" xfId="0" applyNumberFormat="1" applyFont="1" applyFill="1" applyBorder="1" applyAlignment="1" applyProtection="1">
      <alignment horizontal="center" vertical="center"/>
      <protection hidden="1"/>
    </xf>
    <xf numFmtId="2" fontId="32" fillId="3" borderId="0" xfId="0" applyNumberFormat="1" applyFont="1" applyFill="1" applyBorder="1" applyAlignment="1" applyProtection="1">
      <alignment horizontal="center" vertical="top"/>
      <protection hidden="1"/>
    </xf>
    <xf numFmtId="2" fontId="32" fillId="3" borderId="0" xfId="0" applyNumberFormat="1" applyFont="1" applyFill="1" applyBorder="1" applyAlignment="1" applyProtection="1">
      <alignment horizontal="center" vertical="center"/>
      <protection hidden="1"/>
    </xf>
    <xf numFmtId="2" fontId="32" fillId="3" borderId="0" xfId="0" applyNumberFormat="1" applyFont="1" applyFill="1" applyBorder="1" applyAlignment="1" applyProtection="1">
      <alignment horizontal="right" vertical="center"/>
      <protection hidden="1"/>
    </xf>
    <xf numFmtId="2" fontId="29" fillId="6" borderId="19" xfId="0" applyNumberFormat="1" applyFont="1" applyFill="1" applyBorder="1" applyAlignment="1" applyProtection="1">
      <alignment horizontal="center" vertical="center"/>
      <protection hidden="1"/>
    </xf>
    <xf numFmtId="174" fontId="18" fillId="9" borderId="1" xfId="0" applyNumberFormat="1" applyFont="1" applyFill="1" applyBorder="1" applyAlignment="1" applyProtection="1">
      <alignment horizontal="center" vertical="center"/>
      <protection hidden="1"/>
    </xf>
    <xf numFmtId="2" fontId="25" fillId="3" borderId="0" xfId="0" applyNumberFormat="1" applyFont="1" applyFill="1" applyBorder="1" applyAlignment="1" applyProtection="1">
      <alignment horizontal="center" vertical="center"/>
      <protection hidden="1"/>
    </xf>
    <xf numFmtId="2" fontId="32" fillId="3" borderId="0" xfId="0" applyNumberFormat="1" applyFont="1" applyFill="1" applyBorder="1" applyAlignment="1" applyProtection="1">
      <alignment horizontal="center" wrapText="1"/>
      <protection hidden="1"/>
    </xf>
    <xf numFmtId="1" fontId="36" fillId="9" borderId="1" xfId="0" applyNumberFormat="1" applyFont="1" applyFill="1" applyBorder="1" applyAlignment="1" applyProtection="1">
      <alignment horizontal="center" vertical="center"/>
      <protection hidden="1"/>
    </xf>
    <xf numFmtId="164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11" borderId="19" xfId="0" applyNumberFormat="1" applyFont="1" applyFill="1" applyBorder="1" applyAlignment="1" applyProtection="1">
      <alignment horizontal="center" vertical="center"/>
      <protection hidden="1"/>
    </xf>
    <xf numFmtId="172" fontId="18" fillId="9" borderId="1" xfId="0" applyNumberFormat="1" applyFont="1" applyFill="1" applyBorder="1" applyAlignment="1" applyProtection="1">
      <alignment horizontal="left" vertical="center"/>
      <protection hidden="1"/>
    </xf>
    <xf numFmtId="2" fontId="29" fillId="6" borderId="33" xfId="0" applyNumberFormat="1" applyFont="1" applyFill="1" applyBorder="1" applyAlignment="1" applyProtection="1">
      <alignment horizontal="left" vertical="center"/>
      <protection hidden="1"/>
    </xf>
    <xf numFmtId="2" fontId="2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9" borderId="38" xfId="0" applyNumberFormat="1" applyFont="1" applyFill="1" applyBorder="1" applyAlignment="1" applyProtection="1">
      <alignment horizontal="center" vertical="center"/>
      <protection hidden="1"/>
    </xf>
    <xf numFmtId="164" fontId="18" fillId="9" borderId="38" xfId="0" applyNumberFormat="1" applyFont="1" applyFill="1" applyBorder="1" applyAlignment="1" applyProtection="1">
      <alignment horizontal="center" vertical="center"/>
      <protection hidden="1"/>
    </xf>
    <xf numFmtId="1" fontId="18" fillId="9" borderId="36" xfId="0" applyNumberFormat="1" applyFont="1" applyFill="1" applyBorder="1" applyAlignment="1" applyProtection="1">
      <alignment horizontal="center" vertical="center"/>
      <protection hidden="1"/>
    </xf>
    <xf numFmtId="164" fontId="18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8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2" borderId="0" xfId="0" applyNumberFormat="1" applyFont="1" applyFill="1" applyBorder="1" applyAlignment="1" applyProtection="1">
      <alignment horizontal="left" vertical="center"/>
      <protection hidden="1"/>
    </xf>
    <xf numFmtId="2" fontId="19" fillId="6" borderId="2" xfId="2" applyNumberFormat="1" applyFont="1" applyFill="1" applyBorder="1" applyAlignment="1" applyProtection="1">
      <alignment horizontal="center" vertical="center"/>
      <protection hidden="1"/>
    </xf>
    <xf numFmtId="2" fontId="19" fillId="6" borderId="3" xfId="2" applyNumberFormat="1" applyFont="1" applyFill="1" applyBorder="1" applyAlignment="1" applyProtection="1">
      <alignment horizontal="center" vertical="center"/>
      <protection hidden="1"/>
    </xf>
    <xf numFmtId="174" fontId="18" fillId="9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1" xfId="2" applyFont="1" applyFill="1" applyBorder="1" applyAlignment="1" applyProtection="1">
      <alignment horizontal="center" vertical="center"/>
      <protection hidden="1"/>
    </xf>
    <xf numFmtId="11" fontId="18" fillId="2" borderId="0" xfId="0" applyNumberFormat="1" applyFont="1" applyFill="1" applyBorder="1" applyProtection="1">
      <protection hidden="1"/>
    </xf>
    <xf numFmtId="2" fontId="18" fillId="2" borderId="0" xfId="0" applyNumberFormat="1" applyFont="1" applyFill="1" applyBorder="1" applyAlignment="1" applyProtection="1">
      <alignment horizontal="center"/>
      <protection hidden="1"/>
    </xf>
    <xf numFmtId="14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2" fontId="18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18" fillId="9" borderId="1" xfId="0" applyFont="1" applyFill="1" applyBorder="1" applyAlignment="1" applyProtection="1">
      <alignment horizontal="center" vertical="center"/>
      <protection hidden="1"/>
    </xf>
    <xf numFmtId="2" fontId="2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2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28" fillId="6" borderId="50" xfId="2" applyNumberFormat="1" applyFont="1" applyFill="1" applyBorder="1" applyAlignment="1" applyProtection="1">
      <alignment horizontal="center" vertical="center" wrapText="1"/>
      <protection hidden="1"/>
    </xf>
    <xf numFmtId="2" fontId="6" fillId="6" borderId="1" xfId="0" applyNumberFormat="1" applyFont="1" applyFill="1" applyBorder="1" applyAlignment="1" applyProtection="1">
      <alignment horizontal="center" vertical="center"/>
      <protection hidden="1"/>
    </xf>
    <xf numFmtId="2" fontId="29" fillId="6" borderId="2" xfId="0" applyNumberFormat="1" applyFont="1" applyFill="1" applyBorder="1" applyAlignment="1" applyProtection="1">
      <alignment vertical="center"/>
      <protection hidden="1"/>
    </xf>
    <xf numFmtId="2" fontId="29" fillId="6" borderId="3" xfId="0" applyNumberFormat="1" applyFont="1" applyFill="1" applyBorder="1" applyAlignment="1" applyProtection="1">
      <alignment vertical="center"/>
      <protection hidden="1"/>
    </xf>
    <xf numFmtId="2" fontId="24" fillId="6" borderId="3" xfId="0" applyNumberFormat="1" applyFont="1" applyFill="1" applyBorder="1" applyAlignment="1" applyProtection="1">
      <alignment horizontal="center" vertical="center"/>
      <protection hidden="1"/>
    </xf>
    <xf numFmtId="1" fontId="19" fillId="17" borderId="1" xfId="0" applyNumberFormat="1" applyFont="1" applyFill="1" applyBorder="1" applyAlignment="1" applyProtection="1">
      <alignment horizontal="center" vertical="center" wrapText="1"/>
      <protection hidden="1"/>
    </xf>
    <xf numFmtId="164" fontId="18" fillId="17" borderId="1" xfId="0" applyNumberFormat="1" applyFont="1" applyFill="1" applyBorder="1" applyAlignment="1" applyProtection="1">
      <alignment horizontal="center" vertical="center"/>
      <protection hidden="1"/>
    </xf>
    <xf numFmtId="2" fontId="18" fillId="17" borderId="1" xfId="0" applyNumberFormat="1" applyFont="1" applyFill="1" applyBorder="1" applyAlignment="1" applyProtection="1">
      <alignment horizontal="center" vertical="center"/>
      <protection hidden="1"/>
    </xf>
    <xf numFmtId="1" fontId="18" fillId="17" borderId="1" xfId="0" applyNumberFormat="1" applyFont="1" applyFill="1" applyBorder="1" applyAlignment="1" applyProtection="1">
      <alignment horizontal="center" vertical="center"/>
      <protection hidden="1"/>
    </xf>
    <xf numFmtId="174" fontId="18" fillId="17" borderId="1" xfId="0" applyNumberFormat="1" applyFont="1" applyFill="1" applyBorder="1" applyAlignment="1" applyProtection="1">
      <alignment horizontal="center" vertical="center"/>
      <protection hidden="1"/>
    </xf>
    <xf numFmtId="2" fontId="1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18" fillId="14" borderId="37" xfId="3" applyNumberFormat="1" applyFont="1" applyBorder="1" applyAlignment="1" applyProtection="1">
      <alignment horizontal="center" vertical="center"/>
      <protection locked="0"/>
    </xf>
    <xf numFmtId="1" fontId="18" fillId="14" borderId="16" xfId="3" applyNumberFormat="1" applyFont="1" applyBorder="1" applyAlignment="1" applyProtection="1">
      <alignment horizontal="center" vertical="center" wrapText="1"/>
      <protection locked="0"/>
    </xf>
    <xf numFmtId="1" fontId="24" fillId="14" borderId="37" xfId="3" applyNumberFormat="1" applyFont="1" applyBorder="1" applyAlignment="1" applyProtection="1">
      <alignment horizontal="center" vertical="center"/>
      <protection locked="0"/>
    </xf>
    <xf numFmtId="1" fontId="19" fillId="14" borderId="37" xfId="3" applyNumberFormat="1" applyFont="1" applyBorder="1" applyAlignment="1" applyProtection="1">
      <alignment horizontal="center" vertical="center"/>
      <protection locked="0"/>
    </xf>
    <xf numFmtId="1" fontId="20" fillId="14" borderId="37" xfId="3" applyNumberFormat="1" applyFont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/>
      <protection locked="0"/>
    </xf>
    <xf numFmtId="171" fontId="18" fillId="4" borderId="20" xfId="0" applyNumberFormat="1" applyFont="1" applyFill="1" applyBorder="1" applyAlignment="1" applyProtection="1">
      <alignment horizontal="center" vertical="center"/>
      <protection locked="0"/>
    </xf>
    <xf numFmtId="171" fontId="18" fillId="4" borderId="20" xfId="0" applyNumberFormat="1" applyFont="1" applyFill="1" applyBorder="1" applyAlignment="1" applyProtection="1">
      <alignment horizontal="center" vertical="center" wrapText="1"/>
      <protection locked="0"/>
    </xf>
    <xf numFmtId="171" fontId="18" fillId="7" borderId="1" xfId="0" applyNumberFormat="1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Protection="1">
      <protection locked="0"/>
    </xf>
    <xf numFmtId="168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8" fillId="9" borderId="18" xfId="0" applyNumberFormat="1" applyFont="1" applyFill="1" applyBorder="1" applyAlignment="1" applyProtection="1">
      <alignment horizontal="centerContinuous" vertical="center" wrapText="1"/>
      <protection hidden="1"/>
    </xf>
    <xf numFmtId="0" fontId="47" fillId="0" borderId="1" xfId="4" applyFont="1" applyFill="1" applyBorder="1" applyProtection="1">
      <alignment horizontal="center" vertical="center"/>
    </xf>
    <xf numFmtId="0" fontId="47" fillId="0" borderId="8" xfId="4" applyFont="1" applyFill="1" applyBorder="1" applyProtection="1">
      <alignment horizontal="center" vertical="center"/>
    </xf>
    <xf numFmtId="171" fontId="1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1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20" xfId="4" applyFont="1" applyFill="1" applyBorder="1" applyProtection="1">
      <alignment horizontal="center" vertical="center"/>
    </xf>
    <xf numFmtId="0" fontId="47" fillId="0" borderId="33" xfId="4" applyFont="1" applyFill="1" applyBorder="1" applyProtection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6" fillId="0" borderId="5" xfId="0" applyNumberFormat="1" applyFont="1" applyBorder="1" applyAlignment="1" applyProtection="1"/>
    <xf numFmtId="0" fontId="46" fillId="0" borderId="42" xfId="0" applyNumberFormat="1" applyFont="1" applyBorder="1" applyAlignment="1" applyProtection="1"/>
    <xf numFmtId="0" fontId="46" fillId="0" borderId="1" xfId="0" applyNumberFormat="1" applyFont="1" applyFill="1" applyBorder="1" applyAlignment="1" applyProtection="1">
      <alignment horizontal="center" vertical="center"/>
    </xf>
    <xf numFmtId="168" fontId="46" fillId="0" borderId="1" xfId="0" applyNumberFormat="1" applyFont="1" applyFill="1" applyBorder="1" applyAlignment="1" applyProtection="1">
      <alignment horizontal="center" vertical="center"/>
    </xf>
    <xf numFmtId="0" fontId="46" fillId="0" borderId="1" xfId="0" applyNumberFormat="1" applyFont="1" applyFill="1" applyBorder="1" applyAlignment="1" applyProtection="1">
      <alignment horizontal="center" vertical="center" wrapText="1"/>
    </xf>
    <xf numFmtId="0" fontId="46" fillId="0" borderId="45" xfId="0" applyNumberFormat="1" applyFont="1" applyFill="1" applyBorder="1" applyAlignment="1" applyProtection="1">
      <alignment horizontal="center" vertical="center"/>
    </xf>
    <xf numFmtId="0" fontId="47" fillId="0" borderId="8" xfId="0" applyNumberFormat="1" applyFont="1" applyFill="1" applyBorder="1" applyProtection="1"/>
    <xf numFmtId="0" fontId="47" fillId="0" borderId="12" xfId="0" applyNumberFormat="1" applyFont="1" applyFill="1" applyBorder="1" applyProtection="1"/>
    <xf numFmtId="0" fontId="47" fillId="0" borderId="0" xfId="0" applyFont="1" applyProtection="1"/>
    <xf numFmtId="0" fontId="47" fillId="0" borderId="0" xfId="0" applyFont="1" applyBorder="1" applyProtection="1"/>
    <xf numFmtId="0" fontId="47" fillId="0" borderId="0" xfId="0" applyFont="1" applyAlignment="1" applyProtection="1">
      <alignment horizontal="center" vertical="center"/>
    </xf>
    <xf numFmtId="0" fontId="46" fillId="0" borderId="4" xfId="0" applyNumberFormat="1" applyFont="1" applyBorder="1" applyAlignment="1" applyProtection="1"/>
    <xf numFmtId="0" fontId="47" fillId="0" borderId="0" xfId="0" applyFont="1" applyFill="1" applyBorder="1" applyProtection="1"/>
    <xf numFmtId="0" fontId="46" fillId="0" borderId="44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Protection="1"/>
    <xf numFmtId="0" fontId="47" fillId="0" borderId="7" xfId="0" applyNumberFormat="1" applyFont="1" applyFill="1" applyBorder="1" applyProtection="1"/>
    <xf numFmtId="0" fontId="46" fillId="0" borderId="45" xfId="0" applyNumberFormat="1" applyFont="1" applyFill="1" applyBorder="1" applyAlignment="1" applyProtection="1">
      <alignment horizontal="center" vertical="center" wrapText="1"/>
    </xf>
    <xf numFmtId="0" fontId="46" fillId="0" borderId="7" xfId="0" applyNumberFormat="1" applyFont="1" applyFill="1" applyBorder="1" applyAlignment="1" applyProtection="1">
      <alignment horizontal="center"/>
    </xf>
    <xf numFmtId="0" fontId="46" fillId="0" borderId="8" xfId="0" applyNumberFormat="1" applyFont="1" applyFill="1" applyBorder="1" applyAlignment="1" applyProtection="1">
      <alignment horizontal="center"/>
    </xf>
    <xf numFmtId="0" fontId="46" fillId="0" borderId="8" xfId="0" applyNumberFormat="1" applyFont="1" applyFill="1" applyBorder="1" applyAlignment="1" applyProtection="1">
      <alignment horizontal="center" vertical="center" wrapText="1"/>
    </xf>
    <xf numFmtId="0" fontId="46" fillId="0" borderId="12" xfId="0" applyNumberFormat="1" applyFont="1" applyFill="1" applyBorder="1" applyAlignment="1" applyProtection="1">
      <alignment horizontal="center"/>
    </xf>
    <xf numFmtId="0" fontId="47" fillId="0" borderId="14" xfId="0" applyFont="1" applyBorder="1" applyAlignment="1" applyProtection="1"/>
    <xf numFmtId="0" fontId="47" fillId="0" borderId="15" xfId="0" applyFont="1" applyBorder="1" applyAlignment="1" applyProtection="1"/>
    <xf numFmtId="0" fontId="47" fillId="0" borderId="10" xfId="0" applyFont="1" applyBorder="1" applyAlignment="1" applyProtection="1"/>
    <xf numFmtId="0" fontId="47" fillId="0" borderId="11" xfId="0" applyFont="1" applyBorder="1" applyAlignment="1" applyProtection="1">
      <alignment horizontal="center" vertical="center"/>
    </xf>
    <xf numFmtId="0" fontId="47" fillId="0" borderId="46" xfId="0" applyFont="1" applyFill="1" applyBorder="1" applyAlignment="1" applyProtection="1">
      <alignment horizontal="center" vertical="center" wrapText="1"/>
    </xf>
    <xf numFmtId="0" fontId="47" fillId="0" borderId="20" xfId="0" applyFont="1" applyFill="1" applyBorder="1" applyAlignment="1" applyProtection="1">
      <alignment horizontal="center" vertical="center"/>
    </xf>
    <xf numFmtId="168" fontId="47" fillId="0" borderId="20" xfId="0" applyNumberFormat="1" applyFont="1" applyFill="1" applyBorder="1" applyAlignment="1" applyProtection="1">
      <alignment horizontal="center" vertical="center"/>
    </xf>
    <xf numFmtId="164" fontId="47" fillId="0" borderId="20" xfId="0" applyNumberFormat="1" applyFont="1" applyFill="1" applyBorder="1" applyAlignment="1" applyProtection="1">
      <alignment horizontal="center" vertical="center"/>
    </xf>
    <xf numFmtId="169" fontId="47" fillId="0" borderId="61" xfId="0" applyNumberFormat="1" applyFont="1" applyFill="1" applyBorder="1" applyAlignment="1" applyProtection="1">
      <alignment horizontal="center" vertical="center"/>
    </xf>
    <xf numFmtId="0" fontId="47" fillId="0" borderId="47" xfId="0" applyFont="1" applyFill="1" applyBorder="1" applyAlignment="1" applyProtection="1">
      <alignment horizontal="center" vertical="center"/>
    </xf>
    <xf numFmtId="0" fontId="47" fillId="0" borderId="44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/>
    </xf>
    <xf numFmtId="168" fontId="47" fillId="0" borderId="1" xfId="0" applyNumberFormat="1" applyFont="1" applyFill="1" applyBorder="1" applyAlignment="1" applyProtection="1">
      <alignment horizontal="center" vertical="center"/>
    </xf>
    <xf numFmtId="165" fontId="47" fillId="0" borderId="1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0" fontId="47" fillId="0" borderId="2" xfId="0" applyFont="1" applyFill="1" applyBorder="1" applyAlignment="1" applyProtection="1">
      <alignment horizontal="center" vertical="center"/>
    </xf>
    <xf numFmtId="169" fontId="47" fillId="0" borderId="1" xfId="0" applyNumberFormat="1" applyFont="1" applyFill="1" applyBorder="1" applyAlignment="1" applyProtection="1">
      <alignment horizontal="center" vertical="center"/>
    </xf>
    <xf numFmtId="171" fontId="47" fillId="0" borderId="1" xfId="0" applyNumberFormat="1" applyFont="1" applyFill="1" applyBorder="1" applyAlignment="1" applyProtection="1">
      <alignment horizontal="center" vertical="center"/>
    </xf>
    <xf numFmtId="0" fontId="47" fillId="0" borderId="48" xfId="0" applyFont="1" applyFill="1" applyBorder="1" applyAlignment="1" applyProtection="1">
      <alignment horizontal="center" vertical="center" wrapText="1"/>
    </xf>
    <xf numFmtId="0" fontId="47" fillId="0" borderId="33" xfId="0" applyFont="1" applyFill="1" applyBorder="1" applyAlignment="1" applyProtection="1">
      <alignment horizontal="center" vertical="center"/>
    </xf>
    <xf numFmtId="168" fontId="47" fillId="0" borderId="33" xfId="0" applyNumberFormat="1" applyFont="1" applyFill="1" applyBorder="1" applyAlignment="1" applyProtection="1">
      <alignment horizontal="center" vertical="center"/>
    </xf>
    <xf numFmtId="169" fontId="47" fillId="0" borderId="33" xfId="0" applyNumberFormat="1" applyFont="1" applyFill="1" applyBorder="1" applyAlignment="1" applyProtection="1">
      <alignment horizontal="center" vertical="center"/>
    </xf>
    <xf numFmtId="0" fontId="47" fillId="0" borderId="26" xfId="0" applyFont="1" applyFill="1" applyBorder="1" applyAlignment="1" applyProtection="1">
      <alignment horizontal="center" vertical="center"/>
    </xf>
    <xf numFmtId="0" fontId="47" fillId="0" borderId="4" xfId="0" applyFont="1" applyFill="1" applyBorder="1" applyAlignment="1" applyProtection="1">
      <alignment horizontal="center" vertical="center" wrapText="1"/>
    </xf>
    <xf numFmtId="0" fontId="47" fillId="0" borderId="5" xfId="0" applyFont="1" applyFill="1" applyBorder="1" applyAlignment="1" applyProtection="1">
      <alignment horizontal="center" vertical="center"/>
    </xf>
    <xf numFmtId="168" fontId="47" fillId="0" borderId="5" xfId="0" applyNumberFormat="1" applyFont="1" applyFill="1" applyBorder="1" applyAlignment="1" applyProtection="1">
      <alignment horizontal="center" vertical="center"/>
    </xf>
    <xf numFmtId="166" fontId="47" fillId="0" borderId="5" xfId="0" applyNumberFormat="1" applyFont="1" applyFill="1" applyBorder="1" applyAlignment="1" applyProtection="1">
      <alignment horizontal="center" vertical="center"/>
    </xf>
    <xf numFmtId="164" fontId="47" fillId="0" borderId="5" xfId="0" applyNumberFormat="1" applyFont="1" applyFill="1" applyBorder="1" applyAlignment="1" applyProtection="1">
      <alignment horizontal="center" vertical="center"/>
    </xf>
    <xf numFmtId="169" fontId="47" fillId="0" borderId="5" xfId="0" applyNumberFormat="1" applyFont="1" applyFill="1" applyBorder="1" applyAlignment="1" applyProtection="1">
      <alignment horizontal="center" vertical="center"/>
    </xf>
    <xf numFmtId="0" fontId="47" fillId="0" borderId="42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166" fontId="47" fillId="0" borderId="1" xfId="0" applyNumberFormat="1" applyFont="1" applyFill="1" applyBorder="1" applyAlignment="1" applyProtection="1">
      <alignment horizontal="center" vertical="center"/>
    </xf>
    <xf numFmtId="0" fontId="47" fillId="0" borderId="45" xfId="0" applyFont="1" applyFill="1" applyBorder="1" applyAlignment="1" applyProtection="1">
      <alignment horizontal="center" vertical="center"/>
    </xf>
    <xf numFmtId="164" fontId="47" fillId="0" borderId="1" xfId="0" applyNumberFormat="1" applyFont="1" applyFill="1" applyBorder="1" applyAlignment="1" applyProtection="1">
      <alignment horizontal="center" vertical="center"/>
    </xf>
    <xf numFmtId="0" fontId="47" fillId="0" borderId="7" xfId="0" applyFont="1" applyFill="1" applyBorder="1" applyAlignment="1" applyProtection="1">
      <alignment horizontal="center" vertical="center" wrapText="1"/>
    </xf>
    <xf numFmtId="0" fontId="47" fillId="0" borderId="8" xfId="0" applyFont="1" applyFill="1" applyBorder="1" applyAlignment="1" applyProtection="1">
      <alignment horizontal="center" vertical="center"/>
    </xf>
    <xf numFmtId="168" fontId="47" fillId="0" borderId="8" xfId="0" applyNumberFormat="1" applyFont="1" applyFill="1" applyBorder="1" applyAlignment="1" applyProtection="1">
      <alignment horizontal="center" vertical="center"/>
    </xf>
    <xf numFmtId="169" fontId="47" fillId="0" borderId="8" xfId="0" applyNumberFormat="1" applyFont="1" applyFill="1" applyBorder="1" applyAlignment="1" applyProtection="1">
      <alignment horizontal="center" vertical="center"/>
    </xf>
    <xf numFmtId="171" fontId="47" fillId="0" borderId="8" xfId="0" applyNumberFormat="1" applyFont="1" applyFill="1" applyBorder="1" applyAlignment="1" applyProtection="1">
      <alignment horizontal="center" vertical="center"/>
    </xf>
    <xf numFmtId="0" fontId="47" fillId="0" borderId="12" xfId="0" applyFont="1" applyFill="1" applyBorder="1" applyAlignment="1" applyProtection="1">
      <alignment horizontal="center" vertical="center"/>
    </xf>
    <xf numFmtId="165" fontId="47" fillId="0" borderId="20" xfId="0" applyNumberFormat="1" applyFont="1" applyFill="1" applyBorder="1" applyAlignment="1" applyProtection="1">
      <alignment horizontal="center" vertical="center"/>
    </xf>
    <xf numFmtId="169" fontId="47" fillId="0" borderId="17" xfId="0" applyNumberFormat="1" applyFont="1" applyFill="1" applyBorder="1" applyAlignment="1" applyProtection="1">
      <alignment horizontal="center" vertical="center"/>
    </xf>
    <xf numFmtId="0" fontId="46" fillId="0" borderId="0" xfId="0" applyFont="1" applyBorder="1" applyProtection="1"/>
    <xf numFmtId="0" fontId="46" fillId="0" borderId="0" xfId="0" applyFont="1" applyFill="1" applyBorder="1" applyProtection="1"/>
    <xf numFmtId="0" fontId="46" fillId="0" borderId="0" xfId="0" applyFont="1" applyBorder="1" applyAlignment="1" applyProtection="1">
      <alignment horizontal="center"/>
    </xf>
    <xf numFmtId="169" fontId="47" fillId="0" borderId="27" xfId="0" applyNumberFormat="1" applyFont="1" applyFill="1" applyBorder="1" applyAlignment="1" applyProtection="1">
      <alignment horizontal="center" vertical="center"/>
    </xf>
    <xf numFmtId="171" fontId="47" fillId="0" borderId="33" xfId="0" applyNumberFormat="1" applyFont="1" applyFill="1" applyBorder="1" applyAlignment="1" applyProtection="1">
      <alignment horizontal="center" vertical="center"/>
    </xf>
    <xf numFmtId="169" fontId="47" fillId="0" borderId="31" xfId="0" applyNumberFormat="1" applyFont="1" applyFill="1" applyBorder="1" applyAlignment="1" applyProtection="1">
      <alignment horizontal="center" vertical="center"/>
    </xf>
    <xf numFmtId="0" fontId="47" fillId="0" borderId="55" xfId="0" applyFont="1" applyFill="1" applyBorder="1" applyAlignment="1" applyProtection="1">
      <alignment horizontal="center" vertical="center"/>
    </xf>
    <xf numFmtId="0" fontId="46" fillId="0" borderId="37" xfId="0" applyFont="1" applyFill="1" applyBorder="1" applyAlignment="1" applyProtection="1">
      <alignment horizontal="center" vertical="center"/>
    </xf>
    <xf numFmtId="0" fontId="47" fillId="0" borderId="5" xfId="4" applyFont="1" applyFill="1" applyBorder="1" applyProtection="1">
      <alignment horizontal="center" vertical="center"/>
    </xf>
    <xf numFmtId="164" fontId="47" fillId="0" borderId="52" xfId="0" applyNumberFormat="1" applyFont="1" applyFill="1" applyBorder="1" applyAlignment="1" applyProtection="1">
      <alignment horizontal="center" vertical="center"/>
    </xf>
    <xf numFmtId="169" fontId="47" fillId="0" borderId="59" xfId="0" applyNumberFormat="1" applyFont="1" applyFill="1" applyBorder="1" applyAlignment="1" applyProtection="1">
      <alignment horizontal="center" vertical="center"/>
    </xf>
    <xf numFmtId="0" fontId="47" fillId="0" borderId="53" xfId="0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center" vertical="center"/>
    </xf>
    <xf numFmtId="169" fontId="47" fillId="0" borderId="2" xfId="0" applyNumberFormat="1" applyFont="1" applyFill="1" applyBorder="1" applyAlignment="1" applyProtection="1">
      <alignment horizontal="center" vertical="center"/>
    </xf>
    <xf numFmtId="0" fontId="47" fillId="0" borderId="40" xfId="0" applyFont="1" applyFill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 textRotation="90"/>
    </xf>
    <xf numFmtId="0" fontId="46" fillId="0" borderId="1" xfId="0" applyFont="1" applyFill="1" applyBorder="1" applyAlignment="1" applyProtection="1">
      <alignment horizontal="center" vertical="center"/>
    </xf>
    <xf numFmtId="171" fontId="46" fillId="0" borderId="1" xfId="0" applyNumberFormat="1" applyFont="1" applyFill="1" applyBorder="1" applyAlignment="1" applyProtection="1">
      <alignment horizontal="center" vertical="center"/>
    </xf>
    <xf numFmtId="0" fontId="46" fillId="0" borderId="45" xfId="0" applyFont="1" applyFill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175" fontId="46" fillId="0" borderId="44" xfId="0" applyNumberFormat="1" applyFont="1" applyFill="1" applyBorder="1" applyAlignment="1" applyProtection="1">
      <alignment horizontal="center" vertical="center"/>
    </xf>
    <xf numFmtId="0" fontId="46" fillId="0" borderId="5" xfId="0" applyFont="1" applyFill="1" applyBorder="1" applyAlignment="1" applyProtection="1">
      <alignment horizontal="center" vertical="center"/>
    </xf>
    <xf numFmtId="175" fontId="46" fillId="2" borderId="5" xfId="0" applyNumberFormat="1" applyFont="1" applyFill="1" applyBorder="1" applyAlignment="1" applyProtection="1">
      <alignment horizontal="center" vertical="center"/>
    </xf>
    <xf numFmtId="0" fontId="46" fillId="0" borderId="44" xfId="0" applyFont="1" applyFill="1" applyBorder="1" applyAlignment="1" applyProtection="1">
      <alignment horizontal="center" vertical="center"/>
    </xf>
    <xf numFmtId="0" fontId="46" fillId="0" borderId="7" xfId="0" applyFont="1" applyFill="1" applyBorder="1" applyAlignment="1" applyProtection="1">
      <alignment horizontal="center" vertical="center"/>
    </xf>
    <xf numFmtId="171" fontId="46" fillId="0" borderId="1" xfId="0" applyNumberFormat="1" applyFont="1" applyBorder="1" applyAlignment="1" applyProtection="1">
      <alignment horizontal="center" vertical="center"/>
    </xf>
    <xf numFmtId="0" fontId="46" fillId="0" borderId="1" xfId="0" applyFont="1" applyBorder="1" applyAlignment="1" applyProtection="1">
      <alignment horizontal="center" vertical="center"/>
    </xf>
    <xf numFmtId="0" fontId="46" fillId="0" borderId="45" xfId="0" applyFont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vertical="center"/>
    </xf>
    <xf numFmtId="0" fontId="46" fillId="0" borderId="8" xfId="0" applyFont="1" applyBorder="1" applyAlignment="1" applyProtection="1">
      <alignment horizontal="center" vertical="center"/>
    </xf>
    <xf numFmtId="0" fontId="46" fillId="0" borderId="12" xfId="0" applyFont="1" applyBorder="1" applyAlignment="1" applyProtection="1">
      <alignment horizontal="center" vertical="center"/>
    </xf>
    <xf numFmtId="2" fontId="46" fillId="0" borderId="1" xfId="0" applyNumberFormat="1" applyFont="1" applyFill="1" applyBorder="1" applyAlignment="1" applyProtection="1">
      <alignment vertical="center"/>
    </xf>
    <xf numFmtId="0" fontId="46" fillId="0" borderId="1" xfId="0" applyFont="1" applyFill="1" applyBorder="1" applyAlignment="1" applyProtection="1">
      <alignment vertical="center"/>
    </xf>
    <xf numFmtId="0" fontId="46" fillId="0" borderId="45" xfId="0" applyFont="1" applyFill="1" applyBorder="1" applyAlignment="1" applyProtection="1">
      <alignment vertical="center"/>
    </xf>
    <xf numFmtId="2" fontId="46" fillId="0" borderId="40" xfId="0" applyNumberFormat="1" applyFont="1" applyFill="1" applyBorder="1" applyAlignment="1" applyProtection="1">
      <alignment vertical="center"/>
    </xf>
    <xf numFmtId="0" fontId="46" fillId="0" borderId="13" xfId="0" applyFont="1" applyFill="1" applyBorder="1" applyAlignment="1" applyProtection="1">
      <alignment vertical="center"/>
    </xf>
    <xf numFmtId="0" fontId="46" fillId="0" borderId="8" xfId="0" applyFont="1" applyFill="1" applyBorder="1" applyAlignment="1" applyProtection="1">
      <alignment vertical="center"/>
    </xf>
    <xf numFmtId="0" fontId="46" fillId="0" borderId="12" xfId="0" applyFont="1" applyFill="1" applyBorder="1" applyAlignment="1" applyProtection="1"/>
    <xf numFmtId="0" fontId="51" fillId="0" borderId="0" xfId="0" applyFont="1" applyProtection="1"/>
    <xf numFmtId="171" fontId="18" fillId="6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vertical="center" wrapText="1"/>
    </xf>
    <xf numFmtId="0" fontId="52" fillId="0" borderId="0" xfId="0" applyFont="1"/>
    <xf numFmtId="14" fontId="8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horizontal="justify" vertical="justify" wrapText="1" readingOrder="1"/>
    </xf>
    <xf numFmtId="0" fontId="46" fillId="6" borderId="4" xfId="0" applyFont="1" applyFill="1" applyBorder="1" applyAlignment="1" applyProtection="1">
      <alignment horizontal="center" vertical="center"/>
    </xf>
    <xf numFmtId="0" fontId="47" fillId="0" borderId="5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 applyProtection="1">
      <alignment horizontal="center" vertical="center"/>
    </xf>
    <xf numFmtId="0" fontId="47" fillId="0" borderId="8" xfId="0" applyFont="1" applyFill="1" applyBorder="1" applyAlignment="1" applyProtection="1">
      <alignment horizontal="center" vertical="center"/>
    </xf>
    <xf numFmtId="0" fontId="47" fillId="0" borderId="27" xfId="0" applyFont="1" applyFill="1" applyBorder="1" applyAlignment="1" applyProtection="1">
      <alignment horizontal="center" vertical="center"/>
    </xf>
    <xf numFmtId="3" fontId="46" fillId="0" borderId="0" xfId="0" applyNumberFormat="1" applyFont="1" applyFill="1" applyBorder="1" applyAlignment="1" applyProtection="1">
      <alignment horizontal="center" vertical="center" wrapText="1"/>
    </xf>
    <xf numFmtId="3" fontId="46" fillId="19" borderId="4" xfId="0" applyNumberFormat="1" applyFont="1" applyFill="1" applyBorder="1" applyAlignment="1" applyProtection="1">
      <alignment horizontal="center" vertical="center" wrapText="1"/>
    </xf>
    <xf numFmtId="175" fontId="46" fillId="0" borderId="7" xfId="0" applyNumberFormat="1" applyFont="1" applyFill="1" applyBorder="1" applyAlignment="1" applyProtection="1">
      <alignment horizontal="center" vertical="center"/>
    </xf>
    <xf numFmtId="171" fontId="46" fillId="0" borderId="8" xfId="0" applyNumberFormat="1" applyFont="1" applyBorder="1" applyAlignment="1" applyProtection="1">
      <alignment horizontal="center" vertical="center"/>
    </xf>
    <xf numFmtId="2" fontId="24" fillId="6" borderId="57" xfId="0" applyNumberFormat="1" applyFont="1" applyFill="1" applyBorder="1" applyAlignment="1" applyProtection="1">
      <alignment horizontal="center" vertical="center"/>
      <protection hidden="1"/>
    </xf>
    <xf numFmtId="176" fontId="18" fillId="4" borderId="64" xfId="0" applyNumberFormat="1" applyFont="1" applyFill="1" applyBorder="1" applyAlignment="1" applyProtection="1">
      <alignment horizontal="center" vertical="center"/>
      <protection locked="0"/>
    </xf>
    <xf numFmtId="169" fontId="20" fillId="9" borderId="20" xfId="0" applyNumberFormat="1" applyFont="1" applyFill="1" applyBorder="1" applyAlignment="1" applyProtection="1">
      <alignment horizontal="center" vertical="center"/>
      <protection hidden="1"/>
    </xf>
    <xf numFmtId="2" fontId="29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9" borderId="20" xfId="0" applyNumberFormat="1" applyFont="1" applyFill="1" applyBorder="1" applyAlignment="1" applyProtection="1">
      <alignment horizontal="center" vertical="center"/>
      <protection hidden="1"/>
    </xf>
    <xf numFmtId="2" fontId="3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0" borderId="20" xfId="0" applyNumberFormat="1" applyFont="1" applyFill="1" applyBorder="1" applyAlignment="1" applyProtection="1">
      <alignment horizontal="center" vertical="center"/>
      <protection hidden="1"/>
    </xf>
    <xf numFmtId="174" fontId="18" fillId="17" borderId="20" xfId="0" applyNumberFormat="1" applyFont="1" applyFill="1" applyBorder="1" applyAlignment="1" applyProtection="1">
      <alignment horizontal="centerContinuous" vertical="center" wrapText="1"/>
      <protection hidden="1"/>
    </xf>
    <xf numFmtId="2" fontId="24" fillId="6" borderId="18" xfId="0" applyNumberFormat="1" applyFont="1" applyFill="1" applyBorder="1" applyAlignment="1" applyProtection="1">
      <alignment horizontal="centerContinuous" vertical="center"/>
      <protection hidden="1"/>
    </xf>
    <xf numFmtId="0" fontId="4" fillId="18" borderId="1" xfId="0" applyFont="1" applyFill="1" applyBorder="1" applyAlignment="1" applyProtection="1">
      <alignment horizontal="left" vertical="center" wrapText="1"/>
      <protection hidden="1"/>
    </xf>
    <xf numFmtId="0" fontId="55" fillId="18" borderId="1" xfId="0" applyFont="1" applyFill="1" applyBorder="1" applyAlignment="1" applyProtection="1">
      <alignment horizontal="left" vertical="center" wrapText="1"/>
      <protection hidden="1"/>
    </xf>
    <xf numFmtId="2" fontId="5" fillId="14" borderId="1" xfId="3" applyBorder="1" applyAlignment="1" applyProtection="1">
      <alignment horizontal="center" vertical="center"/>
      <protection locked="0" hidden="1"/>
    </xf>
    <xf numFmtId="0" fontId="55" fillId="18" borderId="1" xfId="0" applyFont="1" applyFill="1" applyBorder="1" applyAlignment="1" applyProtection="1">
      <alignment horizontal="center" vertical="center" wrapText="1"/>
      <protection hidden="1"/>
    </xf>
    <xf numFmtId="0" fontId="4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7" fillId="0" borderId="5" xfId="0" applyFont="1" applyBorder="1" applyAlignment="1" applyProtection="1">
      <alignment horizontal="center" vertical="center" wrapText="1"/>
    </xf>
    <xf numFmtId="0" fontId="47" fillId="0" borderId="20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8" fillId="0" borderId="0" xfId="0" applyFont="1" applyBorder="1" applyAlignment="1" applyProtection="1">
      <alignment horizontal="center" vertical="center"/>
    </xf>
    <xf numFmtId="0" fontId="47" fillId="0" borderId="22" xfId="0" applyFont="1" applyBorder="1" applyProtection="1"/>
    <xf numFmtId="0" fontId="47" fillId="0" borderId="24" xfId="0" applyFont="1" applyBorder="1" applyProtection="1"/>
    <xf numFmtId="0" fontId="48" fillId="0" borderId="24" xfId="0" applyFont="1" applyBorder="1" applyAlignment="1" applyProtection="1">
      <alignment horizontal="center" vertical="center"/>
    </xf>
    <xf numFmtId="3" fontId="46" fillId="19" borderId="46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6" fillId="6" borderId="7" xfId="0" applyFont="1" applyFill="1" applyBorder="1" applyAlignment="1" applyProtection="1">
      <alignment vertical="center"/>
    </xf>
    <xf numFmtId="0" fontId="28" fillId="6" borderId="59" xfId="0" applyFont="1" applyFill="1" applyBorder="1" applyAlignment="1" applyProtection="1">
      <alignment vertical="center"/>
    </xf>
    <xf numFmtId="0" fontId="28" fillId="6" borderId="43" xfId="0" applyFont="1" applyFill="1" applyBorder="1" applyAlignment="1" applyProtection="1">
      <alignment vertical="center"/>
    </xf>
    <xf numFmtId="0" fontId="28" fillId="6" borderId="6" xfId="0" applyFont="1" applyFill="1" applyBorder="1" applyAlignment="1" applyProtection="1">
      <alignment vertical="center"/>
    </xf>
    <xf numFmtId="0" fontId="48" fillId="0" borderId="32" xfId="0" applyFont="1" applyBorder="1" applyAlignment="1" applyProtection="1">
      <alignment vertical="center" textRotation="90"/>
    </xf>
    <xf numFmtId="0" fontId="47" fillId="0" borderId="32" xfId="0" applyFont="1" applyBorder="1" applyAlignment="1" applyProtection="1"/>
    <xf numFmtId="0" fontId="47" fillId="0" borderId="32" xfId="0" applyFont="1" applyBorder="1" applyProtection="1"/>
    <xf numFmtId="0" fontId="47" fillId="0" borderId="15" xfId="0" applyFont="1" applyBorder="1" applyProtection="1"/>
    <xf numFmtId="0" fontId="47" fillId="0" borderId="15" xfId="0" applyFont="1" applyBorder="1" applyAlignment="1" applyProtection="1">
      <alignment horizontal="center" vertical="center"/>
    </xf>
    <xf numFmtId="0" fontId="47" fillId="0" borderId="16" xfId="0" applyFont="1" applyBorder="1" applyAlignment="1" applyProtection="1">
      <alignment horizontal="center" vertical="center"/>
    </xf>
    <xf numFmtId="0" fontId="48" fillId="0" borderId="43" xfId="0" applyFont="1" applyBorder="1" applyAlignment="1" applyProtection="1">
      <alignment horizontal="center" vertical="center"/>
    </xf>
    <xf numFmtId="0" fontId="46" fillId="0" borderId="43" xfId="0" applyFont="1" applyFill="1" applyBorder="1" applyAlignment="1" applyProtection="1">
      <alignment horizontal="center" vertical="center"/>
    </xf>
    <xf numFmtId="0" fontId="47" fillId="0" borderId="43" xfId="0" applyFont="1" applyFill="1" applyBorder="1" applyAlignment="1" applyProtection="1">
      <alignment horizontal="center" vertical="center"/>
    </xf>
    <xf numFmtId="3" fontId="46" fillId="0" borderId="43" xfId="0" applyNumberFormat="1" applyFont="1" applyFill="1" applyBorder="1" applyAlignment="1" applyProtection="1">
      <alignment horizontal="center" vertical="center" wrapText="1"/>
    </xf>
    <xf numFmtId="171" fontId="46" fillId="0" borderId="43" xfId="0" applyNumberFormat="1" applyFont="1" applyFill="1" applyBorder="1" applyAlignment="1" applyProtection="1">
      <alignment horizontal="center" vertical="center"/>
    </xf>
    <xf numFmtId="168" fontId="46" fillId="0" borderId="43" xfId="0" applyNumberFormat="1" applyFont="1" applyFill="1" applyBorder="1" applyAlignment="1" applyProtection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168" fontId="46" fillId="0" borderId="0" xfId="0" applyNumberFormat="1" applyFont="1" applyFill="1" applyBorder="1" applyAlignment="1" applyProtection="1">
      <alignment horizontal="center" vertical="center"/>
    </xf>
    <xf numFmtId="14" fontId="46" fillId="0" borderId="0" xfId="0" applyNumberFormat="1" applyFont="1" applyFill="1" applyBorder="1" applyAlignment="1" applyProtection="1">
      <alignment horizontal="center" vertical="center" wrapText="1"/>
    </xf>
    <xf numFmtId="0" fontId="47" fillId="0" borderId="14" xfId="0" applyFont="1" applyBorder="1" applyProtection="1"/>
    <xf numFmtId="171" fontId="47" fillId="0" borderId="1" xfId="0" applyNumberFormat="1" applyFont="1" applyBorder="1" applyAlignment="1" applyProtection="1">
      <alignment horizontal="center" vertical="center" wrapText="1"/>
    </xf>
    <xf numFmtId="0" fontId="46" fillId="20" borderId="5" xfId="0" applyFont="1" applyFill="1" applyBorder="1" applyAlignment="1" applyProtection="1">
      <alignment horizontal="center" vertical="center"/>
    </xf>
    <xf numFmtId="0" fontId="46" fillId="20" borderId="1" xfId="0" applyFont="1" applyFill="1" applyBorder="1" applyAlignment="1" applyProtection="1">
      <alignment horizontal="center" vertical="center"/>
    </xf>
    <xf numFmtId="171" fontId="46" fillId="20" borderId="1" xfId="0" applyNumberFormat="1" applyFont="1" applyFill="1" applyBorder="1" applyAlignment="1" applyProtection="1">
      <alignment horizontal="center" vertical="center"/>
    </xf>
    <xf numFmtId="2" fontId="46" fillId="20" borderId="1" xfId="0" applyNumberFormat="1" applyFont="1" applyFill="1" applyBorder="1" applyAlignment="1" applyProtection="1">
      <alignment horizontal="center" vertical="center"/>
    </xf>
    <xf numFmtId="0" fontId="46" fillId="20" borderId="8" xfId="0" applyFont="1" applyFill="1" applyBorder="1" applyAlignment="1" applyProtection="1">
      <alignment horizontal="center" vertical="center"/>
    </xf>
    <xf numFmtId="0" fontId="46" fillId="20" borderId="5" xfId="0" applyFont="1" applyFill="1" applyBorder="1" applyAlignment="1" applyProtection="1">
      <alignment horizontal="center"/>
    </xf>
    <xf numFmtId="171" fontId="46" fillId="20" borderId="5" xfId="0" applyNumberFormat="1" applyFont="1" applyFill="1" applyBorder="1" applyAlignment="1" applyProtection="1">
      <alignment horizontal="center" vertical="center"/>
    </xf>
    <xf numFmtId="0" fontId="46" fillId="20" borderId="20" xfId="0" applyFont="1" applyFill="1" applyBorder="1" applyAlignment="1" applyProtection="1">
      <alignment horizontal="center" vertical="center"/>
    </xf>
    <xf numFmtId="171" fontId="46" fillId="20" borderId="20" xfId="0" applyNumberFormat="1" applyFont="1" applyFill="1" applyBorder="1" applyAlignment="1" applyProtection="1">
      <alignment horizontal="center" vertical="center"/>
    </xf>
    <xf numFmtId="171" fontId="46" fillId="20" borderId="1" xfId="0" applyNumberFormat="1" applyFont="1" applyFill="1" applyBorder="1" applyAlignment="1" applyProtection="1">
      <alignment horizontal="center"/>
    </xf>
    <xf numFmtId="0" fontId="46" fillId="20" borderId="1" xfId="0" applyFont="1" applyFill="1" applyBorder="1" applyAlignment="1" applyProtection="1">
      <alignment horizontal="center"/>
    </xf>
    <xf numFmtId="171" fontId="46" fillId="20" borderId="8" xfId="0" applyNumberFormat="1" applyFont="1" applyFill="1" applyBorder="1" applyAlignment="1" applyProtection="1">
      <alignment horizontal="center" vertical="center"/>
    </xf>
    <xf numFmtId="178" fontId="46" fillId="20" borderId="1" xfId="0" applyNumberFormat="1" applyFont="1" applyFill="1" applyBorder="1" applyAlignment="1" applyProtection="1">
      <alignment horizontal="center" vertical="center" wrapText="1"/>
    </xf>
    <xf numFmtId="178" fontId="46" fillId="20" borderId="8" xfId="0" applyNumberFormat="1" applyFont="1" applyFill="1" applyBorder="1" applyAlignment="1" applyProtection="1">
      <alignment horizontal="center" vertical="center" wrapText="1"/>
    </xf>
    <xf numFmtId="0" fontId="47" fillId="0" borderId="56" xfId="0" applyFont="1" applyFill="1" applyBorder="1" applyAlignment="1" applyProtection="1">
      <alignment horizontal="center" vertical="center"/>
    </xf>
    <xf numFmtId="2" fontId="18" fillId="0" borderId="65" xfId="0" applyNumberFormat="1" applyFont="1" applyBorder="1" applyAlignment="1" applyProtection="1">
      <alignment vertical="center"/>
      <protection hidden="1"/>
    </xf>
    <xf numFmtId="0" fontId="47" fillId="0" borderId="1" xfId="0" applyFont="1" applyBorder="1" applyProtection="1"/>
    <xf numFmtId="0" fontId="47" fillId="0" borderId="20" xfId="0" applyFont="1" applyBorder="1" applyProtection="1"/>
    <xf numFmtId="0" fontId="47" fillId="0" borderId="8" xfId="0" applyFont="1" applyBorder="1" applyProtection="1"/>
    <xf numFmtId="1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34" xfId="0" applyNumberFormat="1" applyFont="1" applyFill="1" applyBorder="1" applyAlignment="1" applyProtection="1">
      <alignment vertical="center" wrapText="1"/>
      <protection hidden="1"/>
    </xf>
    <xf numFmtId="2" fontId="18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24" fillId="6" borderId="37" xfId="0" applyNumberFormat="1" applyFont="1" applyFill="1" applyBorder="1" applyAlignment="1" applyProtection="1">
      <alignment vertical="center" wrapText="1"/>
      <protection hidden="1"/>
    </xf>
    <xf numFmtId="171" fontId="18" fillId="9" borderId="28" xfId="0" applyNumberFormat="1" applyFont="1" applyFill="1" applyBorder="1" applyAlignment="1" applyProtection="1">
      <alignment horizontal="center" vertical="center"/>
      <protection hidden="1"/>
    </xf>
    <xf numFmtId="171" fontId="18" fillId="9" borderId="6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71" fontId="18" fillId="9" borderId="37" xfId="0" applyNumberFormat="1" applyFont="1" applyFill="1" applyBorder="1" applyAlignment="1" applyProtection="1">
      <alignment horizontal="center" vertical="center"/>
      <protection hidden="1"/>
    </xf>
    <xf numFmtId="171" fontId="56" fillId="0" borderId="35" xfId="0" applyNumberFormat="1" applyFont="1" applyBorder="1" applyAlignment="1">
      <alignment horizontal="center" vertical="center" wrapText="1"/>
    </xf>
    <xf numFmtId="171" fontId="56" fillId="0" borderId="6" xfId="0" applyNumberFormat="1" applyFont="1" applyBorder="1" applyAlignment="1">
      <alignment horizontal="center" vertical="center" wrapText="1"/>
    </xf>
    <xf numFmtId="2" fontId="51" fillId="2" borderId="10" xfId="0" applyNumberFormat="1" applyFont="1" applyFill="1" applyBorder="1" applyAlignment="1" applyProtection="1">
      <alignment horizontal="center" vertical="center" wrapText="1"/>
    </xf>
    <xf numFmtId="171" fontId="51" fillId="2" borderId="20" xfId="0" applyNumberFormat="1" applyFont="1" applyFill="1" applyBorder="1" applyAlignment="1" applyProtection="1">
      <alignment horizontal="center" vertical="center"/>
    </xf>
    <xf numFmtId="171" fontId="51" fillId="2" borderId="1" xfId="0" applyNumberFormat="1" applyFont="1" applyFill="1" applyBorder="1" applyAlignment="1" applyProtection="1">
      <alignment horizontal="center" vertical="center"/>
    </xf>
    <xf numFmtId="3" fontId="46" fillId="19" borderId="48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46" fillId="20" borderId="54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6" fillId="20" borderId="54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8" fontId="46" fillId="20" borderId="33" xfId="0" applyNumberFormat="1" applyFont="1" applyFill="1" applyBorder="1" applyAlignment="1" applyProtection="1">
      <alignment horizontal="center" vertical="center" wrapText="1"/>
    </xf>
    <xf numFmtId="4" fontId="46" fillId="20" borderId="33" xfId="0" applyNumberFormat="1" applyFont="1" applyFill="1" applyBorder="1" applyAlignment="1" applyProtection="1">
      <alignment horizontal="center" vertical="center" wrapText="1"/>
    </xf>
    <xf numFmtId="3" fontId="46" fillId="20" borderId="33" xfId="0" applyNumberFormat="1" applyFont="1" applyFill="1" applyBorder="1" applyAlignment="1" applyProtection="1">
      <alignment horizontal="center" vertical="center" wrapText="1"/>
    </xf>
    <xf numFmtId="168" fontId="46" fillId="20" borderId="33" xfId="0" applyNumberFormat="1" applyFont="1" applyFill="1" applyBorder="1" applyAlignment="1" applyProtection="1">
      <alignment horizontal="center" vertical="center" wrapText="1"/>
    </xf>
    <xf numFmtId="14" fontId="46" fillId="20" borderId="49" xfId="0" applyNumberFormat="1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46" fillId="20" borderId="54" xfId="0" applyNumberFormat="1" applyFont="1" applyFill="1" applyBorder="1" applyAlignment="1" applyProtection="1">
      <alignment horizontal="center" vertical="center" wrapText="1"/>
    </xf>
    <xf numFmtId="0" fontId="50" fillId="13" borderId="14" xfId="0" applyFont="1" applyFill="1" applyBorder="1" applyAlignment="1" applyProtection="1">
      <alignment horizontal="center" vertical="center"/>
    </xf>
    <xf numFmtId="0" fontId="50" fillId="13" borderId="15" xfId="0" applyFont="1" applyFill="1" applyBorder="1" applyAlignment="1" applyProtection="1">
      <alignment horizontal="center" vertical="center"/>
    </xf>
    <xf numFmtId="0" fontId="42" fillId="6" borderId="14" xfId="0" applyFont="1" applyFill="1" applyBorder="1" applyAlignment="1" applyProtection="1">
      <alignment horizontal="center" vertical="center"/>
    </xf>
    <xf numFmtId="0" fontId="42" fillId="6" borderId="15" xfId="0" applyFont="1" applyFill="1" applyBorder="1" applyAlignment="1" applyProtection="1">
      <alignment horizontal="center" vertical="center"/>
    </xf>
    <xf numFmtId="0" fontId="42" fillId="6" borderId="16" xfId="0" applyFont="1" applyFill="1" applyBorder="1" applyAlignment="1" applyProtection="1">
      <alignment horizontal="center" vertical="center"/>
    </xf>
    <xf numFmtId="0" fontId="46" fillId="20" borderId="62" xfId="0" applyFont="1" applyFill="1" applyBorder="1" applyAlignment="1" applyProtection="1">
      <alignment horizontal="center" vertical="center" wrapText="1"/>
    </xf>
    <xf numFmtId="0" fontId="46" fillId="20" borderId="56" xfId="0" applyFont="1" applyFill="1" applyBorder="1" applyAlignment="1" applyProtection="1">
      <alignment horizontal="center" vertical="center" wrapText="1"/>
    </xf>
    <xf numFmtId="0" fontId="46" fillId="20" borderId="51" xfId="0" applyFont="1" applyFill="1" applyBorder="1" applyAlignment="1" applyProtection="1">
      <alignment horizontal="center" vertical="center" wrapText="1"/>
    </xf>
    <xf numFmtId="168" fontId="46" fillId="20" borderId="45" xfId="0" applyNumberFormat="1" applyFont="1" applyFill="1" applyBorder="1" applyAlignment="1" applyProtection="1">
      <alignment horizontal="center" vertical="center" wrapText="1"/>
    </xf>
    <xf numFmtId="0" fontId="0" fillId="20" borderId="45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50" fillId="13" borderId="22" xfId="0" applyFont="1" applyFill="1" applyBorder="1" applyAlignment="1" applyProtection="1">
      <alignment horizontal="center" vertical="center"/>
    </xf>
    <xf numFmtId="0" fontId="50" fillId="13" borderId="32" xfId="0" applyFont="1" applyFill="1" applyBorder="1" applyAlignment="1" applyProtection="1">
      <alignment horizontal="center" vertical="center"/>
    </xf>
    <xf numFmtId="0" fontId="50" fillId="13" borderId="23" xfId="0" applyFont="1" applyFill="1" applyBorder="1" applyAlignment="1" applyProtection="1">
      <alignment horizontal="center" vertical="center"/>
    </xf>
    <xf numFmtId="0" fontId="50" fillId="13" borderId="21" xfId="0" applyFont="1" applyFill="1" applyBorder="1" applyAlignment="1" applyProtection="1">
      <alignment horizontal="center" vertical="center"/>
    </xf>
    <xf numFmtId="0" fontId="50" fillId="13" borderId="43" xfId="0" applyFont="1" applyFill="1" applyBorder="1" applyAlignment="1" applyProtection="1">
      <alignment horizontal="center" vertical="center"/>
    </xf>
    <xf numFmtId="0" fontId="50" fillId="13" borderId="6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28" fillId="6" borderId="32" xfId="0" applyFont="1" applyFill="1" applyBorder="1" applyAlignment="1" applyProtection="1">
      <alignment horizontal="center" vertical="center"/>
    </xf>
    <xf numFmtId="0" fontId="28" fillId="6" borderId="23" xfId="0" applyFont="1" applyFill="1" applyBorder="1" applyAlignment="1" applyProtection="1">
      <alignment horizontal="center" vertical="center"/>
    </xf>
    <xf numFmtId="168" fontId="46" fillId="20" borderId="42" xfId="0" applyNumberFormat="1" applyFont="1" applyFill="1" applyBorder="1" applyAlignment="1" applyProtection="1">
      <alignment horizontal="center" vertical="center" wrapText="1"/>
    </xf>
    <xf numFmtId="168" fontId="47" fillId="0" borderId="5" xfId="0" applyNumberFormat="1" applyFont="1" applyBorder="1" applyAlignment="1" applyProtection="1">
      <alignment horizontal="center" vertical="center" wrapText="1"/>
    </xf>
    <xf numFmtId="168" fontId="47" fillId="0" borderId="1" xfId="0" applyNumberFormat="1" applyFont="1" applyBorder="1" applyAlignment="1" applyProtection="1">
      <alignment horizontal="center" vertical="center" wrapText="1"/>
    </xf>
    <xf numFmtId="168" fontId="47" fillId="0" borderId="8" xfId="0" applyNumberFormat="1" applyFont="1" applyBorder="1" applyAlignment="1" applyProtection="1">
      <alignment horizontal="center" vertical="center" wrapText="1"/>
    </xf>
    <xf numFmtId="0" fontId="47" fillId="0" borderId="42" xfId="0" applyFont="1" applyBorder="1" applyAlignment="1" applyProtection="1">
      <alignment horizontal="center" vertical="center" wrapText="1"/>
    </xf>
    <xf numFmtId="0" fontId="47" fillId="0" borderId="45" xfId="0" applyFont="1" applyBorder="1" applyAlignment="1" applyProtection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</xf>
    <xf numFmtId="0" fontId="48" fillId="20" borderId="44" xfId="0" applyFont="1" applyFill="1" applyBorder="1" applyAlignment="1" applyProtection="1">
      <alignment horizontal="center" vertical="center"/>
    </xf>
    <xf numFmtId="0" fontId="48" fillId="20" borderId="1" xfId="0" applyFont="1" applyFill="1" applyBorder="1" applyAlignment="1" applyProtection="1">
      <alignment horizontal="center" vertical="center"/>
    </xf>
    <xf numFmtId="0" fontId="46" fillId="20" borderId="1" xfId="0" applyFont="1" applyFill="1" applyBorder="1" applyAlignment="1" applyProtection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168" fontId="46" fillId="20" borderId="1" xfId="0" applyNumberFormat="1" applyFont="1" applyFill="1" applyBorder="1" applyAlignment="1" applyProtection="1">
      <alignment horizontal="center" vertical="center" wrapText="1"/>
    </xf>
    <xf numFmtId="0" fontId="42" fillId="20" borderId="4" xfId="0" applyFont="1" applyFill="1" applyBorder="1" applyAlignment="1" applyProtection="1">
      <alignment horizontal="center" vertical="center"/>
    </xf>
    <xf numFmtId="0" fontId="47" fillId="20" borderId="5" xfId="0" applyFont="1" applyFill="1" applyBorder="1" applyAlignment="1" applyProtection="1">
      <alignment horizontal="center" vertical="center"/>
    </xf>
    <xf numFmtId="0" fontId="47" fillId="20" borderId="44" xfId="0" applyFont="1" applyFill="1" applyBorder="1" applyAlignment="1" applyProtection="1">
      <alignment horizontal="center" vertical="center"/>
    </xf>
    <xf numFmtId="0" fontId="47" fillId="20" borderId="1" xfId="0" applyFont="1" applyFill="1" applyBorder="1" applyAlignment="1" applyProtection="1">
      <alignment horizontal="center" vertical="center"/>
    </xf>
    <xf numFmtId="0" fontId="47" fillId="20" borderId="8" xfId="0" applyFont="1" applyFill="1" applyBorder="1" applyAlignment="1" applyProtection="1">
      <alignment horizontal="center" vertical="center"/>
    </xf>
    <xf numFmtId="171" fontId="46" fillId="20" borderId="5" xfId="0" applyNumberFormat="1" applyFont="1" applyFill="1" applyBorder="1" applyAlignment="1" applyProtection="1">
      <alignment horizontal="center" vertical="center" wrapText="1"/>
    </xf>
    <xf numFmtId="171" fontId="0" fillId="20" borderId="1" xfId="0" applyNumberFormat="1" applyFill="1" applyBorder="1" applyAlignment="1">
      <alignment horizontal="center" vertical="center" wrapText="1"/>
    </xf>
    <xf numFmtId="0" fontId="46" fillId="20" borderId="5" xfId="0" applyFont="1" applyFill="1" applyBorder="1" applyAlignment="1" applyProtection="1">
      <alignment horizontal="center" vertical="center" wrapText="1"/>
    </xf>
    <xf numFmtId="168" fontId="46" fillId="20" borderId="5" xfId="0" applyNumberFormat="1" applyFont="1" applyFill="1" applyBorder="1" applyAlignment="1" applyProtection="1">
      <alignment horizontal="center" vertical="center" wrapText="1"/>
    </xf>
    <xf numFmtId="0" fontId="48" fillId="20" borderId="7" xfId="0" applyFont="1" applyFill="1" applyBorder="1" applyAlignment="1" applyProtection="1">
      <alignment horizontal="center" vertical="center"/>
    </xf>
    <xf numFmtId="0" fontId="48" fillId="20" borderId="8" xfId="0" applyFont="1" applyFill="1" applyBorder="1" applyAlignment="1" applyProtection="1">
      <alignment horizontal="center" vertical="center"/>
    </xf>
    <xf numFmtId="0" fontId="0" fillId="20" borderId="8" xfId="0" applyFill="1" applyBorder="1" applyAlignment="1">
      <alignment horizontal="center" vertical="center" wrapText="1"/>
    </xf>
    <xf numFmtId="1" fontId="46" fillId="20" borderId="1" xfId="0" applyNumberFormat="1" applyFont="1" applyFill="1" applyBorder="1" applyAlignment="1" applyProtection="1">
      <alignment horizontal="center" vertical="center" wrapText="1"/>
    </xf>
    <xf numFmtId="1" fontId="0" fillId="20" borderId="1" xfId="0" applyNumberFormat="1" applyFill="1" applyBorder="1" applyAlignment="1">
      <alignment horizontal="center" vertical="center" wrapText="1"/>
    </xf>
    <xf numFmtId="1" fontId="0" fillId="20" borderId="8" xfId="0" applyNumberFormat="1" applyFill="1" applyBorder="1" applyAlignment="1">
      <alignment horizontal="center" vertical="center" wrapText="1"/>
    </xf>
    <xf numFmtId="0" fontId="48" fillId="20" borderId="22" xfId="0" applyFont="1" applyFill="1" applyBorder="1" applyAlignment="1" applyProtection="1">
      <alignment horizontal="center" vertical="center"/>
    </xf>
    <xf numFmtId="0" fontId="48" fillId="20" borderId="32" xfId="0" applyFont="1" applyFill="1" applyBorder="1" applyAlignment="1" applyProtection="1">
      <alignment horizontal="center" vertical="center"/>
    </xf>
    <xf numFmtId="0" fontId="48" fillId="20" borderId="24" xfId="0" applyFont="1" applyFill="1" applyBorder="1" applyAlignment="1" applyProtection="1">
      <alignment horizontal="center" vertical="center"/>
    </xf>
    <xf numFmtId="0" fontId="48" fillId="20" borderId="0" xfId="0" applyFont="1" applyFill="1" applyBorder="1" applyAlignment="1" applyProtection="1">
      <alignment horizontal="center" vertical="center"/>
    </xf>
    <xf numFmtId="0" fontId="48" fillId="20" borderId="21" xfId="0" applyFont="1" applyFill="1" applyBorder="1" applyAlignment="1" applyProtection="1">
      <alignment horizontal="center" vertical="center"/>
    </xf>
    <xf numFmtId="0" fontId="48" fillId="20" borderId="43" xfId="0" applyFont="1" applyFill="1" applyBorder="1" applyAlignment="1" applyProtection="1">
      <alignment horizontal="center" vertical="center"/>
    </xf>
    <xf numFmtId="0" fontId="42" fillId="20" borderId="22" xfId="0" applyFont="1" applyFill="1" applyBorder="1" applyAlignment="1" applyProtection="1">
      <alignment horizontal="center" vertical="center"/>
    </xf>
    <xf numFmtId="0" fontId="42" fillId="20" borderId="32" xfId="0" applyFont="1" applyFill="1" applyBorder="1" applyAlignment="1" applyProtection="1">
      <alignment horizontal="center" vertical="center"/>
    </xf>
    <xf numFmtId="0" fontId="42" fillId="20" borderId="24" xfId="0" applyFont="1" applyFill="1" applyBorder="1" applyAlignment="1" applyProtection="1">
      <alignment horizontal="center" vertical="center"/>
    </xf>
    <xf numFmtId="0" fontId="42" fillId="20" borderId="0" xfId="0" applyFont="1" applyFill="1" applyBorder="1" applyAlignment="1" applyProtection="1">
      <alignment horizontal="center" vertical="center"/>
    </xf>
    <xf numFmtId="0" fontId="42" fillId="20" borderId="21" xfId="0" applyFont="1" applyFill="1" applyBorder="1" applyAlignment="1" applyProtection="1">
      <alignment horizontal="center" vertical="center"/>
    </xf>
    <xf numFmtId="0" fontId="42" fillId="20" borderId="43" xfId="0" applyFont="1" applyFill="1" applyBorder="1" applyAlignment="1" applyProtection="1">
      <alignment horizontal="center" vertical="center"/>
    </xf>
    <xf numFmtId="0" fontId="48" fillId="20" borderId="23" xfId="0" applyFont="1" applyFill="1" applyBorder="1" applyAlignment="1" applyProtection="1">
      <alignment horizontal="center" vertical="center"/>
    </xf>
    <xf numFmtId="0" fontId="48" fillId="20" borderId="41" xfId="0" applyFont="1" applyFill="1" applyBorder="1" applyAlignment="1" applyProtection="1">
      <alignment horizontal="center" vertical="center"/>
    </xf>
    <xf numFmtId="0" fontId="48" fillId="20" borderId="6" xfId="0" applyFont="1" applyFill="1" applyBorder="1" applyAlignment="1" applyProtection="1">
      <alignment horizontal="center" vertical="center"/>
    </xf>
    <xf numFmtId="0" fontId="28" fillId="6" borderId="18" xfId="0" applyFont="1" applyFill="1" applyBorder="1" applyAlignment="1" applyProtection="1">
      <alignment horizontal="center" vertical="center" wrapText="1"/>
    </xf>
    <xf numFmtId="0" fontId="28" fillId="6" borderId="29" xfId="0" applyFont="1" applyFill="1" applyBorder="1" applyAlignment="1" applyProtection="1">
      <alignment horizontal="center" vertical="center" wrapText="1"/>
    </xf>
    <xf numFmtId="0" fontId="28" fillId="6" borderId="47" xfId="0" applyFont="1" applyFill="1" applyBorder="1" applyAlignment="1" applyProtection="1">
      <alignment horizontal="center" vertical="center" wrapText="1"/>
    </xf>
    <xf numFmtId="0" fontId="28" fillId="6" borderId="49" xfId="0" applyFont="1" applyFill="1" applyBorder="1" applyAlignment="1" applyProtection="1">
      <alignment horizontal="center" vertical="center" wrapText="1"/>
    </xf>
    <xf numFmtId="0" fontId="42" fillId="20" borderId="22" xfId="0" applyFont="1" applyFill="1" applyBorder="1" applyAlignment="1" applyProtection="1">
      <alignment horizontal="center" vertical="center" wrapText="1"/>
    </xf>
    <xf numFmtId="0" fontId="42" fillId="20" borderId="23" xfId="0" applyFont="1" applyFill="1" applyBorder="1" applyAlignment="1" applyProtection="1">
      <alignment horizontal="center" vertical="center" wrapText="1"/>
    </xf>
    <xf numFmtId="0" fontId="42" fillId="20" borderId="24" xfId="0" applyFont="1" applyFill="1" applyBorder="1" applyAlignment="1" applyProtection="1">
      <alignment horizontal="center" vertical="center" wrapText="1"/>
    </xf>
    <xf numFmtId="0" fontId="42" fillId="20" borderId="41" xfId="0" applyFont="1" applyFill="1" applyBorder="1" applyAlignment="1" applyProtection="1">
      <alignment horizontal="center" vertical="center" wrapText="1"/>
    </xf>
    <xf numFmtId="0" fontId="42" fillId="20" borderId="21" xfId="0" applyFont="1" applyFill="1" applyBorder="1" applyAlignment="1" applyProtection="1">
      <alignment horizontal="center" vertical="center" wrapText="1"/>
    </xf>
    <xf numFmtId="0" fontId="42" fillId="20" borderId="6" xfId="0" applyFont="1" applyFill="1" applyBorder="1" applyAlignment="1" applyProtection="1">
      <alignment horizontal="center" vertical="center" wrapText="1"/>
    </xf>
    <xf numFmtId="0" fontId="47" fillId="20" borderId="54" xfId="0" applyFont="1" applyFill="1" applyBorder="1" applyAlignment="1" applyProtection="1">
      <alignment horizontal="center" vertical="center" wrapText="1"/>
    </xf>
    <xf numFmtId="168" fontId="46" fillId="20" borderId="54" xfId="0" applyNumberFormat="1" applyFont="1" applyFill="1" applyBorder="1" applyAlignment="1" applyProtection="1">
      <alignment horizontal="center" vertical="center" wrapText="1"/>
    </xf>
    <xf numFmtId="0" fontId="46" fillId="20" borderId="63" xfId="0" applyFont="1" applyFill="1" applyBorder="1" applyAlignment="1" applyProtection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6" fillId="20" borderId="33" xfId="0" applyFont="1" applyFill="1" applyBorder="1" applyAlignment="1" applyProtection="1">
      <alignment horizontal="center" vertical="center"/>
    </xf>
    <xf numFmtId="0" fontId="46" fillId="20" borderId="27" xfId="0" applyFont="1" applyFill="1" applyBorder="1" applyAlignment="1" applyProtection="1">
      <alignment horizontal="center" vertical="center"/>
    </xf>
    <xf numFmtId="0" fontId="46" fillId="20" borderId="52" xfId="0" applyFont="1" applyFill="1" applyBorder="1" applyAlignment="1" applyProtection="1">
      <alignment horizontal="center" vertical="center"/>
    </xf>
    <xf numFmtId="0" fontId="46" fillId="20" borderId="54" xfId="0" applyFont="1" applyFill="1" applyBorder="1" applyAlignment="1" applyProtection="1">
      <alignment horizontal="center" vertical="center"/>
    </xf>
    <xf numFmtId="0" fontId="46" fillId="20" borderId="20" xfId="0" applyFont="1" applyFill="1" applyBorder="1" applyAlignment="1" applyProtection="1">
      <alignment horizontal="center" vertical="center"/>
    </xf>
    <xf numFmtId="168" fontId="46" fillId="20" borderId="33" xfId="0" applyNumberFormat="1" applyFont="1" applyFill="1" applyBorder="1" applyAlignment="1" applyProtection="1">
      <alignment horizontal="center" vertical="center"/>
    </xf>
    <xf numFmtId="168" fontId="46" fillId="20" borderId="27" xfId="0" applyNumberFormat="1" applyFont="1" applyFill="1" applyBorder="1" applyAlignment="1" applyProtection="1">
      <alignment horizontal="center" vertical="center"/>
    </xf>
    <xf numFmtId="168" fontId="46" fillId="20" borderId="20" xfId="0" applyNumberFormat="1" applyFont="1" applyFill="1" applyBorder="1" applyAlignment="1" applyProtection="1">
      <alignment horizontal="center" vertical="center"/>
    </xf>
    <xf numFmtId="168" fontId="46" fillId="20" borderId="52" xfId="0" applyNumberFormat="1" applyFont="1" applyFill="1" applyBorder="1" applyAlignment="1" applyProtection="1">
      <alignment horizontal="center" vertical="center"/>
    </xf>
    <xf numFmtId="0" fontId="48" fillId="13" borderId="22" xfId="0" applyFont="1" applyFill="1" applyBorder="1" applyAlignment="1" applyProtection="1">
      <alignment horizontal="center" vertical="center"/>
    </xf>
    <xf numFmtId="0" fontId="48" fillId="13" borderId="32" xfId="0" applyFont="1" applyFill="1" applyBorder="1" applyAlignment="1" applyProtection="1">
      <alignment horizontal="center" vertical="center"/>
    </xf>
    <xf numFmtId="0" fontId="48" fillId="13" borderId="23" xfId="0" applyFont="1" applyFill="1" applyBorder="1" applyAlignment="1" applyProtection="1">
      <alignment horizontal="center" vertical="center"/>
    </xf>
    <xf numFmtId="0" fontId="48" fillId="13" borderId="21" xfId="0" applyFont="1" applyFill="1" applyBorder="1" applyAlignment="1" applyProtection="1">
      <alignment horizontal="center" vertical="center"/>
    </xf>
    <xf numFmtId="0" fontId="48" fillId="13" borderId="43" xfId="0" applyFont="1" applyFill="1" applyBorder="1" applyAlignment="1" applyProtection="1">
      <alignment horizontal="center" vertical="center"/>
    </xf>
    <xf numFmtId="0" fontId="48" fillId="13" borderId="6" xfId="0" applyFont="1" applyFill="1" applyBorder="1" applyAlignment="1" applyProtection="1">
      <alignment horizontal="center" vertical="center"/>
    </xf>
    <xf numFmtId="0" fontId="48" fillId="13" borderId="14" xfId="0" applyFont="1" applyFill="1" applyBorder="1" applyAlignment="1" applyProtection="1">
      <alignment horizontal="center" vertical="center"/>
    </xf>
    <xf numFmtId="0" fontId="48" fillId="13" borderId="15" xfId="0" applyFont="1" applyFill="1" applyBorder="1" applyAlignment="1" applyProtection="1">
      <alignment horizontal="center" vertical="center"/>
    </xf>
    <xf numFmtId="0" fontId="48" fillId="13" borderId="16" xfId="0" applyFont="1" applyFill="1" applyBorder="1" applyAlignment="1" applyProtection="1">
      <alignment horizontal="center" vertical="center"/>
    </xf>
    <xf numFmtId="0" fontId="28" fillId="6" borderId="46" xfId="0" applyFont="1" applyFill="1" applyBorder="1" applyAlignment="1" applyProtection="1">
      <alignment horizontal="center" vertical="center" wrapText="1"/>
    </xf>
    <xf numFmtId="0" fontId="28" fillId="6" borderId="48" xfId="0" applyFont="1" applyFill="1" applyBorder="1" applyAlignment="1" applyProtection="1">
      <alignment horizontal="center" vertical="center" wrapText="1"/>
    </xf>
    <xf numFmtId="0" fontId="28" fillId="6" borderId="20" xfId="0" applyFont="1" applyFill="1" applyBorder="1" applyAlignment="1" applyProtection="1">
      <alignment horizontal="center" vertical="center" wrapText="1"/>
    </xf>
    <xf numFmtId="0" fontId="28" fillId="6" borderId="33" xfId="0" applyFont="1" applyFill="1" applyBorder="1" applyAlignment="1" applyProtection="1">
      <alignment horizontal="center" vertical="center" wrapText="1"/>
    </xf>
    <xf numFmtId="0" fontId="47" fillId="20" borderId="23" xfId="0" applyFont="1" applyFill="1" applyBorder="1" applyAlignment="1" applyProtection="1">
      <alignment horizontal="center" vertical="center"/>
    </xf>
    <xf numFmtId="0" fontId="47" fillId="20" borderId="24" xfId="0" applyFont="1" applyFill="1" applyBorder="1" applyAlignment="1" applyProtection="1">
      <alignment horizontal="center" vertical="center"/>
    </xf>
    <xf numFmtId="0" fontId="47" fillId="20" borderId="41" xfId="0" applyFont="1" applyFill="1" applyBorder="1" applyAlignment="1" applyProtection="1">
      <alignment horizontal="center" vertical="center"/>
    </xf>
    <xf numFmtId="0" fontId="47" fillId="20" borderId="21" xfId="0" applyFont="1" applyFill="1" applyBorder="1" applyAlignment="1" applyProtection="1">
      <alignment horizontal="center" vertical="center"/>
    </xf>
    <xf numFmtId="0" fontId="47" fillId="20" borderId="6" xfId="0" applyFont="1" applyFill="1" applyBorder="1" applyAlignment="1" applyProtection="1">
      <alignment horizontal="center" vertical="center"/>
    </xf>
    <xf numFmtId="0" fontId="47" fillId="6" borderId="60" xfId="0" applyFont="1" applyFill="1" applyBorder="1" applyAlignment="1" applyProtection="1">
      <alignment horizontal="center" vertical="center"/>
    </xf>
    <xf numFmtId="0" fontId="28" fillId="6" borderId="24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41" xfId="0" applyFont="1" applyFill="1" applyBorder="1" applyAlignment="1" applyProtection="1">
      <alignment horizontal="center" vertical="center" wrapText="1"/>
    </xf>
    <xf numFmtId="168" fontId="47" fillId="0" borderId="20" xfId="0" applyNumberFormat="1" applyFont="1" applyBorder="1" applyAlignment="1" applyProtection="1">
      <alignment horizontal="center" vertical="center" wrapText="1"/>
    </xf>
    <xf numFmtId="0" fontId="47" fillId="0" borderId="47" xfId="0" applyFont="1" applyBorder="1" applyAlignment="1" applyProtection="1">
      <alignment horizontal="center" vertical="center" wrapText="1"/>
    </xf>
    <xf numFmtId="0" fontId="47" fillId="20" borderId="54" xfId="0" applyFont="1" applyFill="1" applyBorder="1" applyAlignment="1" applyProtection="1">
      <alignment horizontal="center" vertical="center"/>
    </xf>
    <xf numFmtId="0" fontId="47" fillId="20" borderId="27" xfId="0" applyFont="1" applyFill="1" applyBorder="1" applyAlignment="1" applyProtection="1">
      <alignment horizontal="center" vertical="center"/>
    </xf>
    <xf numFmtId="0" fontId="47" fillId="20" borderId="52" xfId="0" applyFont="1" applyFill="1" applyBorder="1" applyAlignment="1" applyProtection="1">
      <alignment horizontal="center" vertical="center"/>
    </xf>
    <xf numFmtId="14" fontId="46" fillId="20" borderId="63" xfId="0" applyNumberFormat="1" applyFont="1" applyFill="1" applyBorder="1" applyAlignment="1" applyProtection="1">
      <alignment horizontal="center" vertical="center"/>
    </xf>
    <xf numFmtId="14" fontId="46" fillId="20" borderId="55" xfId="0" applyNumberFormat="1" applyFont="1" applyFill="1" applyBorder="1" applyAlignment="1" applyProtection="1">
      <alignment horizontal="center" vertical="center"/>
    </xf>
    <xf numFmtId="14" fontId="46" fillId="20" borderId="47" xfId="0" applyNumberFormat="1" applyFont="1" applyFill="1" applyBorder="1" applyAlignment="1" applyProtection="1">
      <alignment horizontal="center" vertical="center"/>
    </xf>
    <xf numFmtId="14" fontId="46" fillId="20" borderId="49" xfId="0" applyNumberFormat="1" applyFont="1" applyFill="1" applyBorder="1" applyAlignment="1" applyProtection="1">
      <alignment horizontal="center" vertical="center"/>
    </xf>
    <xf numFmtId="0" fontId="46" fillId="20" borderId="49" xfId="0" applyFont="1" applyFill="1" applyBorder="1" applyAlignment="1" applyProtection="1">
      <alignment horizontal="center" vertical="center"/>
    </xf>
    <xf numFmtId="0" fontId="46" fillId="20" borderId="55" xfId="0" applyFont="1" applyFill="1" applyBorder="1" applyAlignment="1" applyProtection="1">
      <alignment horizontal="center" vertical="center"/>
    </xf>
    <xf numFmtId="0" fontId="46" fillId="20" borderId="53" xfId="0" applyFont="1" applyFill="1" applyBorder="1" applyAlignment="1" applyProtection="1">
      <alignment horizontal="center" vertical="center"/>
    </xf>
    <xf numFmtId="168" fontId="46" fillId="20" borderId="54" xfId="0" applyNumberFormat="1" applyFont="1" applyFill="1" applyBorder="1" applyAlignment="1" applyProtection="1">
      <alignment horizontal="center" vertical="center"/>
    </xf>
    <xf numFmtId="0" fontId="48" fillId="13" borderId="4" xfId="0" applyFont="1" applyFill="1" applyBorder="1" applyAlignment="1" applyProtection="1">
      <alignment horizontal="center" vertical="center" wrapText="1"/>
    </xf>
    <xf numFmtId="0" fontId="48" fillId="13" borderId="5" xfId="0" applyFont="1" applyFill="1" applyBorder="1" applyAlignment="1" applyProtection="1">
      <alignment horizontal="center" vertical="center" wrapText="1"/>
    </xf>
    <xf numFmtId="0" fontId="48" fillId="13" borderId="42" xfId="0" applyFont="1" applyFill="1" applyBorder="1" applyAlignment="1" applyProtection="1">
      <alignment horizontal="center" vertical="center" wrapText="1"/>
    </xf>
    <xf numFmtId="0" fontId="48" fillId="13" borderId="48" xfId="0" applyFont="1" applyFill="1" applyBorder="1" applyAlignment="1" applyProtection="1">
      <alignment horizontal="center" vertical="center" wrapText="1"/>
    </xf>
    <xf numFmtId="0" fontId="48" fillId="13" borderId="33" xfId="0" applyFont="1" applyFill="1" applyBorder="1" applyAlignment="1" applyProtection="1">
      <alignment horizontal="center" vertical="center" wrapText="1"/>
    </xf>
    <xf numFmtId="0" fontId="48" fillId="13" borderId="49" xfId="0" applyFont="1" applyFill="1" applyBorder="1" applyAlignment="1" applyProtection="1">
      <alignment horizontal="center" vertical="center" wrapText="1"/>
    </xf>
    <xf numFmtId="49" fontId="42" fillId="6" borderId="4" xfId="0" applyNumberFormat="1" applyFont="1" applyFill="1" applyBorder="1" applyAlignment="1" applyProtection="1">
      <alignment horizontal="center" vertical="center"/>
    </xf>
    <xf numFmtId="49" fontId="42" fillId="6" borderId="7" xfId="0" applyNumberFormat="1" applyFont="1" applyFill="1" applyBorder="1" applyAlignment="1" applyProtection="1">
      <alignment horizontal="center" vertical="center"/>
    </xf>
    <xf numFmtId="49" fontId="42" fillId="6" borderId="5" xfId="0" applyNumberFormat="1" applyFont="1" applyFill="1" applyBorder="1" applyAlignment="1" applyProtection="1">
      <alignment horizontal="center" vertical="center" wrapText="1"/>
    </xf>
    <xf numFmtId="49" fontId="42" fillId="6" borderId="8" xfId="0" applyNumberFormat="1" applyFont="1" applyFill="1" applyBorder="1" applyAlignment="1" applyProtection="1">
      <alignment horizontal="center" vertical="center" wrapText="1"/>
    </xf>
    <xf numFmtId="49" fontId="19" fillId="6" borderId="54" xfId="2" applyNumberFormat="1" applyFont="1" applyFill="1" applyBorder="1" applyAlignment="1" applyProtection="1">
      <alignment horizontal="center" vertical="center"/>
    </xf>
    <xf numFmtId="49" fontId="19" fillId="6" borderId="52" xfId="2" applyNumberFormat="1" applyFont="1" applyFill="1" applyBorder="1" applyAlignment="1" applyProtection="1">
      <alignment horizontal="center" vertical="center"/>
    </xf>
    <xf numFmtId="49" fontId="28" fillId="6" borderId="5" xfId="0" applyNumberFormat="1" applyFont="1" applyFill="1" applyBorder="1" applyAlignment="1" applyProtection="1">
      <alignment horizontal="center" vertical="center" wrapText="1"/>
    </xf>
    <xf numFmtId="49" fontId="28" fillId="6" borderId="8" xfId="0" applyNumberFormat="1" applyFont="1" applyFill="1" applyBorder="1" applyAlignment="1" applyProtection="1">
      <alignment horizontal="center" vertical="center" wrapText="1"/>
    </xf>
    <xf numFmtId="49" fontId="42" fillId="6" borderId="5" xfId="2" applyNumberFormat="1" applyFont="1" applyFill="1" applyBorder="1" applyAlignment="1" applyProtection="1">
      <alignment horizontal="center" vertical="center" wrapText="1"/>
    </xf>
    <xf numFmtId="49" fontId="42" fillId="6" borderId="8" xfId="2" applyNumberFormat="1" applyFont="1" applyFill="1" applyBorder="1" applyAlignment="1" applyProtection="1">
      <alignment horizontal="center" vertical="center" wrapText="1"/>
    </xf>
    <xf numFmtId="49" fontId="42" fillId="6" borderId="42" xfId="0" applyNumberFormat="1" applyFont="1" applyFill="1" applyBorder="1" applyAlignment="1" applyProtection="1">
      <alignment horizontal="center" vertical="center" wrapText="1"/>
    </xf>
    <xf numFmtId="49" fontId="42" fillId="6" borderId="12" xfId="0" applyNumberFormat="1" applyFont="1" applyFill="1" applyBorder="1" applyAlignment="1" applyProtection="1">
      <alignment horizontal="center" vertical="center" wrapText="1"/>
    </xf>
    <xf numFmtId="0" fontId="48" fillId="13" borderId="22" xfId="0" applyFont="1" applyFill="1" applyBorder="1" applyAlignment="1" applyProtection="1">
      <alignment horizontal="center" vertical="center" wrapText="1"/>
    </xf>
    <xf numFmtId="0" fontId="48" fillId="13" borderId="32" xfId="0" applyFont="1" applyFill="1" applyBorder="1" applyAlignment="1" applyProtection="1">
      <alignment horizontal="center" vertical="center" wrapText="1"/>
    </xf>
    <xf numFmtId="0" fontId="48" fillId="13" borderId="23" xfId="0" applyFont="1" applyFill="1" applyBorder="1" applyAlignment="1" applyProtection="1">
      <alignment horizontal="center" vertical="center" wrapText="1"/>
    </xf>
    <xf numFmtId="0" fontId="48" fillId="13" borderId="21" xfId="0" applyFont="1" applyFill="1" applyBorder="1" applyAlignment="1" applyProtection="1">
      <alignment horizontal="center" vertical="center" wrapText="1"/>
    </xf>
    <xf numFmtId="0" fontId="48" fillId="13" borderId="43" xfId="0" applyFont="1" applyFill="1" applyBorder="1" applyAlignment="1" applyProtection="1">
      <alignment horizontal="center" vertical="center" wrapText="1"/>
    </xf>
    <xf numFmtId="0" fontId="48" fillId="13" borderId="6" xfId="0" applyFont="1" applyFill="1" applyBorder="1" applyAlignment="1" applyProtection="1">
      <alignment horizontal="center" vertical="center" wrapText="1"/>
    </xf>
    <xf numFmtId="49" fontId="42" fillId="6" borderId="46" xfId="2" applyNumberFormat="1" applyFont="1" applyFill="1" applyBorder="1" applyAlignment="1" applyProtection="1">
      <alignment horizontal="center" vertical="center" wrapText="1"/>
    </xf>
    <xf numFmtId="49" fontId="42" fillId="6" borderId="48" xfId="2" applyNumberFormat="1" applyFont="1" applyFill="1" applyBorder="1" applyAlignment="1" applyProtection="1">
      <alignment horizontal="center" vertical="center" wrapText="1"/>
    </xf>
    <xf numFmtId="49" fontId="42" fillId="6" borderId="20" xfId="2" applyNumberFormat="1" applyFont="1" applyFill="1" applyBorder="1" applyAlignment="1" applyProtection="1">
      <alignment horizontal="center" vertical="center" wrapText="1"/>
    </xf>
    <xf numFmtId="49" fontId="42" fillId="6" borderId="33" xfId="2" applyNumberFormat="1" applyFont="1" applyFill="1" applyBorder="1" applyAlignment="1" applyProtection="1">
      <alignment horizontal="center" vertical="center" wrapText="1"/>
    </xf>
    <xf numFmtId="49" fontId="42" fillId="6" borderId="47" xfId="2" applyNumberFormat="1" applyFont="1" applyFill="1" applyBorder="1" applyAlignment="1" applyProtection="1">
      <alignment horizontal="center" vertical="center" wrapText="1"/>
    </xf>
    <xf numFmtId="49" fontId="42" fillId="6" borderId="49" xfId="2" applyNumberFormat="1" applyFont="1" applyFill="1" applyBorder="1" applyAlignment="1" applyProtection="1">
      <alignment horizontal="center" vertical="center" wrapText="1"/>
    </xf>
    <xf numFmtId="0" fontId="46" fillId="0" borderId="34" xfId="0" applyFont="1" applyFill="1" applyBorder="1" applyAlignment="1" applyProtection="1">
      <alignment horizontal="center" vertical="center"/>
    </xf>
    <xf numFmtId="0" fontId="46" fillId="0" borderId="60" xfId="0" applyFont="1" applyFill="1" applyBorder="1" applyAlignment="1" applyProtection="1">
      <alignment horizontal="center" vertical="center"/>
    </xf>
    <xf numFmtId="0" fontId="46" fillId="0" borderId="35" xfId="0" applyFont="1" applyFill="1" applyBorder="1" applyAlignment="1" applyProtection="1">
      <alignment horizontal="center" vertical="center"/>
    </xf>
    <xf numFmtId="0" fontId="47" fillId="6" borderId="42" xfId="0" applyFont="1" applyFill="1" applyBorder="1" applyAlignment="1" applyProtection="1">
      <alignment horizontal="center" vertical="center"/>
    </xf>
    <xf numFmtId="0" fontId="47" fillId="6" borderId="49" xfId="0" applyFont="1" applyFill="1" applyBorder="1" applyAlignment="1" applyProtection="1">
      <alignment horizontal="center" vertical="center"/>
    </xf>
    <xf numFmtId="0" fontId="47" fillId="0" borderId="34" xfId="0" applyFont="1" applyFill="1" applyBorder="1" applyAlignment="1" applyProtection="1">
      <alignment horizontal="center" vertical="center" wrapText="1"/>
    </xf>
    <xf numFmtId="0" fontId="47" fillId="0" borderId="60" xfId="0" applyFont="1" applyFill="1" applyBorder="1" applyAlignment="1" applyProtection="1">
      <alignment horizontal="center" vertical="center" wrapText="1"/>
    </xf>
    <xf numFmtId="0" fontId="47" fillId="0" borderId="35" xfId="0" applyFont="1" applyFill="1" applyBorder="1" applyAlignment="1" applyProtection="1">
      <alignment horizontal="center" vertical="center" wrapText="1"/>
    </xf>
    <xf numFmtId="0" fontId="47" fillId="0" borderId="22" xfId="0" applyFont="1" applyFill="1" applyBorder="1" applyAlignment="1" applyProtection="1">
      <alignment horizontal="center" vertical="center" wrapText="1"/>
    </xf>
    <xf numFmtId="0" fontId="47" fillId="0" borderId="24" xfId="0" applyFont="1" applyFill="1" applyBorder="1" applyAlignment="1" applyProtection="1">
      <alignment horizontal="center" vertical="center" wrapText="1"/>
    </xf>
    <xf numFmtId="0" fontId="47" fillId="0" borderId="21" xfId="0" applyFont="1" applyFill="1" applyBorder="1" applyAlignment="1" applyProtection="1">
      <alignment horizontal="center" vertical="center" wrapText="1"/>
    </xf>
    <xf numFmtId="0" fontId="42" fillId="6" borderId="61" xfId="0" applyFont="1" applyFill="1" applyBorder="1" applyAlignment="1" applyProtection="1">
      <alignment horizontal="center" vertical="center" wrapText="1"/>
    </xf>
    <xf numFmtId="0" fontId="42" fillId="6" borderId="26" xfId="0" applyFont="1" applyFill="1" applyBorder="1" applyAlignment="1" applyProtection="1">
      <alignment horizontal="center" vertical="center" wrapText="1"/>
    </xf>
    <xf numFmtId="0" fontId="42" fillId="6" borderId="5" xfId="0" applyFont="1" applyFill="1" applyBorder="1" applyAlignment="1" applyProtection="1">
      <alignment horizontal="center" vertical="center" wrapText="1"/>
    </xf>
    <xf numFmtId="0" fontId="42" fillId="6" borderId="33" xfId="0" applyFont="1" applyFill="1" applyBorder="1" applyAlignment="1" applyProtection="1">
      <alignment horizontal="center" vertical="center" wrapText="1"/>
    </xf>
    <xf numFmtId="0" fontId="42" fillId="6" borderId="4" xfId="0" applyFont="1" applyFill="1" applyBorder="1" applyAlignment="1" applyProtection="1">
      <alignment horizontal="center" vertical="center"/>
    </xf>
    <xf numFmtId="0" fontId="42" fillId="6" borderId="48" xfId="0" applyFont="1" applyFill="1" applyBorder="1" applyAlignment="1" applyProtection="1">
      <alignment horizontal="center" vertical="center"/>
    </xf>
    <xf numFmtId="0" fontId="42" fillId="6" borderId="5" xfId="0" applyFont="1" applyFill="1" applyBorder="1" applyAlignment="1" applyProtection="1">
      <alignment horizontal="center" vertical="center"/>
    </xf>
    <xf numFmtId="0" fontId="42" fillId="6" borderId="33" xfId="0" applyFont="1" applyFill="1" applyBorder="1" applyAlignment="1" applyProtection="1">
      <alignment horizontal="center" vertical="center"/>
    </xf>
    <xf numFmtId="0" fontId="42" fillId="6" borderId="54" xfId="0" applyFont="1" applyFill="1" applyBorder="1" applyAlignment="1" applyProtection="1">
      <alignment horizontal="center" vertical="center" wrapText="1"/>
    </xf>
    <xf numFmtId="0" fontId="42" fillId="6" borderId="27" xfId="0" applyFont="1" applyFill="1" applyBorder="1" applyAlignment="1" applyProtection="1">
      <alignment horizontal="center" vertical="center" wrapText="1"/>
    </xf>
    <xf numFmtId="2" fontId="4" fillId="6" borderId="1" xfId="0" applyNumberFormat="1" applyFont="1" applyFill="1" applyBorder="1" applyAlignment="1" applyProtection="1">
      <alignment horizontal="left" vertical="center" wrapText="1"/>
      <protection hidden="1"/>
    </xf>
    <xf numFmtId="2" fontId="29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3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37" fillId="3" borderId="14" xfId="0" applyNumberFormat="1" applyFont="1" applyFill="1" applyBorder="1" applyAlignment="1" applyProtection="1">
      <alignment horizontal="center" vertical="center"/>
      <protection hidden="1"/>
    </xf>
    <xf numFmtId="2" fontId="37" fillId="3" borderId="15" xfId="0" applyNumberFormat="1" applyFont="1" applyFill="1" applyBorder="1" applyAlignment="1" applyProtection="1">
      <alignment horizontal="center" vertical="center"/>
      <protection hidden="1"/>
    </xf>
    <xf numFmtId="2" fontId="37" fillId="3" borderId="16" xfId="0" applyNumberFormat="1" applyFont="1" applyFill="1" applyBorder="1" applyAlignment="1" applyProtection="1">
      <alignment horizontal="center" vertical="center"/>
      <protection hidden="1"/>
    </xf>
    <xf numFmtId="2" fontId="41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41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41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0" xfId="0" applyNumberFormat="1" applyFont="1" applyFill="1" applyBorder="1" applyAlignment="1" applyProtection="1">
      <alignment horizontal="center" vertical="center"/>
      <protection hidden="1"/>
    </xf>
    <xf numFmtId="2" fontId="18" fillId="6" borderId="2" xfId="0" applyNumberFormat="1" applyFont="1" applyFill="1" applyBorder="1" applyAlignment="1" applyProtection="1">
      <alignment horizontal="center"/>
      <protection hidden="1"/>
    </xf>
    <xf numFmtId="2" fontId="18" fillId="6" borderId="19" xfId="0" applyNumberFormat="1" applyFont="1" applyFill="1" applyBorder="1" applyAlignment="1" applyProtection="1">
      <alignment horizontal="center"/>
      <protection hidden="1"/>
    </xf>
    <xf numFmtId="2" fontId="18" fillId="6" borderId="3" xfId="0" applyNumberFormat="1" applyFont="1" applyFill="1" applyBorder="1" applyAlignment="1" applyProtection="1">
      <alignment horizontal="center"/>
      <protection hidden="1"/>
    </xf>
    <xf numFmtId="2" fontId="18" fillId="2" borderId="2" xfId="0" applyNumberFormat="1" applyFont="1" applyFill="1" applyBorder="1" applyAlignment="1" applyProtection="1">
      <alignment horizontal="left" vertical="center"/>
      <protection hidden="1"/>
    </xf>
    <xf numFmtId="2" fontId="18" fillId="2" borderId="19" xfId="0" applyNumberFormat="1" applyFont="1" applyFill="1" applyBorder="1" applyAlignment="1" applyProtection="1">
      <alignment horizontal="left" vertical="center"/>
      <protection hidden="1"/>
    </xf>
    <xf numFmtId="2" fontId="18" fillId="2" borderId="3" xfId="0" applyNumberFormat="1" applyFont="1" applyFill="1" applyBorder="1" applyAlignment="1" applyProtection="1">
      <alignment horizontal="left" vertical="center"/>
      <protection hidden="1"/>
    </xf>
    <xf numFmtId="2" fontId="4" fillId="6" borderId="20" xfId="0" applyNumberFormat="1" applyFont="1" applyFill="1" applyBorder="1" applyAlignment="1" applyProtection="1">
      <alignment horizontal="left" vertical="center" wrapText="1"/>
      <protection hidden="1"/>
    </xf>
    <xf numFmtId="2" fontId="24" fillId="12" borderId="1" xfId="0" applyNumberFormat="1" applyFont="1" applyFill="1" applyBorder="1" applyAlignment="1" applyProtection="1">
      <alignment horizontal="center" vertical="center"/>
      <protection hidden="1"/>
    </xf>
    <xf numFmtId="2" fontId="19" fillId="6" borderId="20" xfId="0" applyNumberFormat="1" applyFont="1" applyFill="1" applyBorder="1" applyAlignment="1" applyProtection="1">
      <alignment horizontal="center" vertical="center"/>
      <protection hidden="1"/>
    </xf>
    <xf numFmtId="2" fontId="41" fillId="3" borderId="14" xfId="0" applyNumberFormat="1" applyFont="1" applyFill="1" applyBorder="1" applyAlignment="1" applyProtection="1">
      <alignment horizontal="center" vertical="center"/>
      <protection hidden="1"/>
    </xf>
    <xf numFmtId="2" fontId="41" fillId="3" borderId="15" xfId="0" applyNumberFormat="1" applyFont="1" applyFill="1" applyBorder="1" applyAlignment="1" applyProtection="1">
      <alignment horizontal="center" vertical="center"/>
      <protection hidden="1"/>
    </xf>
    <xf numFmtId="2" fontId="41" fillId="3" borderId="16" xfId="0" applyNumberFormat="1" applyFont="1" applyFill="1" applyBorder="1" applyAlignment="1" applyProtection="1">
      <alignment horizontal="center" vertical="center"/>
      <protection hidden="1"/>
    </xf>
    <xf numFmtId="2" fontId="25" fillId="8" borderId="14" xfId="0" applyNumberFormat="1" applyFont="1" applyFill="1" applyBorder="1" applyAlignment="1" applyProtection="1">
      <alignment horizontal="center" vertical="center"/>
      <protection hidden="1"/>
    </xf>
    <xf numFmtId="2" fontId="25" fillId="8" borderId="15" xfId="0" applyNumberFormat="1" applyFont="1" applyFill="1" applyBorder="1" applyAlignment="1" applyProtection="1">
      <alignment horizontal="center" vertical="center"/>
      <protection hidden="1"/>
    </xf>
    <xf numFmtId="2" fontId="25" fillId="8" borderId="16" xfId="0" applyNumberFormat="1" applyFont="1" applyFill="1" applyBorder="1" applyAlignment="1" applyProtection="1">
      <alignment horizontal="center" vertical="center"/>
      <protection hidden="1"/>
    </xf>
    <xf numFmtId="2" fontId="4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41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4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6" borderId="9" xfId="0" applyNumberFormat="1" applyFont="1" applyFill="1" applyBorder="1" applyAlignment="1" applyProtection="1">
      <alignment horizontal="center" vertical="center"/>
      <protection hidden="1"/>
    </xf>
    <xf numFmtId="2" fontId="28" fillId="6" borderId="10" xfId="0" applyNumberFormat="1" applyFont="1" applyFill="1" applyBorder="1" applyAlignment="1" applyProtection="1">
      <alignment horizontal="center" vertical="center"/>
      <protection hidden="1"/>
    </xf>
    <xf numFmtId="2" fontId="28" fillId="6" borderId="11" xfId="0" applyNumberFormat="1" applyFont="1" applyFill="1" applyBorder="1" applyAlignment="1" applyProtection="1">
      <alignment horizontal="center" vertical="center"/>
      <protection hidden="1"/>
    </xf>
    <xf numFmtId="2" fontId="24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3" xfId="0" applyNumberFormat="1" applyFont="1" applyFill="1" applyBorder="1" applyAlignment="1" applyProtection="1">
      <alignment horizontal="center" vertical="center"/>
      <protection hidden="1"/>
    </xf>
    <xf numFmtId="2" fontId="24" fillId="6" borderId="17" xfId="0" applyNumberFormat="1" applyFont="1" applyFill="1" applyBorder="1" applyAlignment="1" applyProtection="1">
      <alignment horizontal="center" vertical="center"/>
      <protection hidden="1"/>
    </xf>
    <xf numFmtId="2" fontId="24" fillId="6" borderId="25" xfId="0" applyNumberFormat="1" applyFont="1" applyFill="1" applyBorder="1" applyAlignment="1" applyProtection="1">
      <alignment horizontal="center" vertical="center"/>
      <protection hidden="1"/>
    </xf>
    <xf numFmtId="2" fontId="24" fillId="6" borderId="18" xfId="0" applyNumberFormat="1" applyFont="1" applyFill="1" applyBorder="1" applyAlignment="1" applyProtection="1">
      <alignment horizontal="center" vertical="center"/>
      <protection hidden="1"/>
    </xf>
    <xf numFmtId="2" fontId="24" fillId="6" borderId="2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8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18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18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43" fillId="8" borderId="14" xfId="0" applyNumberFormat="1" applyFont="1" applyFill="1" applyBorder="1" applyAlignment="1" applyProtection="1">
      <alignment horizontal="center" vertical="center"/>
      <protection hidden="1"/>
    </xf>
    <xf numFmtId="2" fontId="43" fillId="8" borderId="15" xfId="0" applyNumberFormat="1" applyFont="1" applyFill="1" applyBorder="1" applyAlignment="1" applyProtection="1">
      <alignment horizontal="center" vertical="center"/>
      <protection hidden="1"/>
    </xf>
    <xf numFmtId="2" fontId="43" fillId="8" borderId="16" xfId="0" applyNumberFormat="1" applyFont="1" applyFill="1" applyBorder="1" applyAlignment="1" applyProtection="1">
      <alignment horizontal="center" vertical="center"/>
      <protection hidden="1"/>
    </xf>
    <xf numFmtId="2" fontId="29" fillId="6" borderId="27" xfId="0" applyNumberFormat="1" applyFont="1" applyFill="1" applyBorder="1" applyAlignment="1" applyProtection="1">
      <alignment horizontal="center" vertical="center" wrapText="1"/>
      <protection hidden="1"/>
    </xf>
    <xf numFmtId="2" fontId="41" fillId="3" borderId="32" xfId="0" applyNumberFormat="1" applyFont="1" applyFill="1" applyBorder="1" applyAlignment="1" applyProtection="1">
      <alignment horizontal="center" vertical="center"/>
      <protection hidden="1"/>
    </xf>
    <xf numFmtId="2" fontId="25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5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5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0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41" fillId="3" borderId="22" xfId="0" applyNumberFormat="1" applyFont="1" applyFill="1" applyBorder="1" applyAlignment="1" applyProtection="1">
      <alignment horizontal="center" vertical="center"/>
      <protection hidden="1"/>
    </xf>
    <xf numFmtId="2" fontId="2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19" xfId="0" applyFont="1" applyFill="1" applyBorder="1" applyAlignment="1" applyProtection="1">
      <alignment horizontal="center"/>
      <protection hidden="1"/>
    </xf>
    <xf numFmtId="0" fontId="20" fillId="6" borderId="3" xfId="0" applyFont="1" applyFill="1" applyBorder="1" applyAlignment="1" applyProtection="1">
      <alignment horizontal="center"/>
      <protection hidden="1"/>
    </xf>
    <xf numFmtId="2" fontId="18" fillId="6" borderId="1" xfId="0" applyNumberFormat="1" applyFont="1" applyFill="1" applyBorder="1" applyAlignment="1" applyProtection="1">
      <alignment horizontal="center"/>
      <protection hidden="1"/>
    </xf>
    <xf numFmtId="2" fontId="24" fillId="6" borderId="0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5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3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9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18" fillId="0" borderId="26" xfId="0" applyNumberFormat="1" applyFont="1" applyBorder="1" applyAlignment="1" applyProtection="1">
      <alignment horizontal="center"/>
      <protection hidden="1"/>
    </xf>
    <xf numFmtId="2" fontId="18" fillId="0" borderId="29" xfId="0" applyNumberFormat="1" applyFont="1" applyBorder="1" applyAlignment="1" applyProtection="1">
      <alignment horizontal="center"/>
      <protection hidden="1"/>
    </xf>
    <xf numFmtId="2" fontId="18" fillId="0" borderId="31" xfId="0" applyNumberFormat="1" applyFont="1" applyBorder="1" applyAlignment="1" applyProtection="1">
      <alignment horizontal="center"/>
      <protection hidden="1"/>
    </xf>
    <xf numFmtId="2" fontId="18" fillId="0" borderId="30" xfId="0" applyNumberFormat="1" applyFont="1" applyBorder="1" applyAlignment="1" applyProtection="1">
      <alignment horizontal="center"/>
      <protection hidden="1"/>
    </xf>
    <xf numFmtId="2" fontId="18" fillId="0" borderId="17" xfId="0" applyNumberFormat="1" applyFont="1" applyBorder="1" applyAlignment="1" applyProtection="1">
      <alignment horizontal="center"/>
      <protection hidden="1"/>
    </xf>
    <xf numFmtId="2" fontId="18" fillId="0" borderId="18" xfId="0" applyNumberFormat="1" applyFont="1" applyBorder="1" applyAlignment="1" applyProtection="1">
      <alignment horizontal="center"/>
      <protection hidden="1"/>
    </xf>
    <xf numFmtId="2" fontId="20" fillId="6" borderId="20" xfId="0" applyNumberFormat="1" applyFont="1" applyFill="1" applyBorder="1" applyAlignment="1" applyProtection="1">
      <alignment horizontal="center" vertical="center"/>
      <protection hidden="1"/>
    </xf>
    <xf numFmtId="2" fontId="19" fillId="6" borderId="1" xfId="2" applyNumberFormat="1" applyFont="1" applyFill="1" applyBorder="1" applyAlignment="1" applyProtection="1">
      <alignment horizontal="left" vertical="center"/>
      <protection hidden="1"/>
    </xf>
    <xf numFmtId="2" fontId="19" fillId="6" borderId="2" xfId="2" applyNumberFormat="1" applyFont="1" applyFill="1" applyBorder="1" applyAlignment="1" applyProtection="1">
      <alignment horizontal="left" vertical="center"/>
      <protection hidden="1"/>
    </xf>
    <xf numFmtId="2" fontId="18" fillId="9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20" xfId="0" applyNumberFormat="1" applyFont="1" applyFill="1" applyBorder="1" applyAlignment="1" applyProtection="1">
      <alignment horizontal="left" vertical="center"/>
      <protection hidden="1"/>
    </xf>
    <xf numFmtId="2" fontId="4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40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20" xfId="2" applyNumberFormat="1" applyFont="1" applyFill="1" applyBorder="1" applyAlignment="1" applyProtection="1">
      <alignment horizontal="left" vertical="center"/>
      <protection hidden="1"/>
    </xf>
    <xf numFmtId="2" fontId="18" fillId="9" borderId="2" xfId="0" applyNumberFormat="1" applyFont="1" applyFill="1" applyBorder="1" applyAlignment="1" applyProtection="1">
      <alignment horizontal="center" vertical="center"/>
      <protection hidden="1"/>
    </xf>
    <xf numFmtId="2" fontId="18" fillId="9" borderId="3" xfId="0" applyNumberFormat="1" applyFont="1" applyFill="1" applyBorder="1" applyAlignment="1" applyProtection="1">
      <alignment horizontal="center" vertical="center"/>
      <protection hidden="1"/>
    </xf>
    <xf numFmtId="168" fontId="18" fillId="9" borderId="2" xfId="0" applyNumberFormat="1" applyFont="1" applyFill="1" applyBorder="1" applyAlignment="1" applyProtection="1">
      <alignment horizontal="center" vertical="center"/>
      <protection hidden="1"/>
    </xf>
    <xf numFmtId="168" fontId="18" fillId="9" borderId="3" xfId="0" applyNumberFormat="1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21" fillId="3" borderId="32" xfId="0" applyFont="1" applyFill="1" applyBorder="1" applyAlignment="1" applyProtection="1">
      <alignment horizontal="center" vertical="center"/>
      <protection hidden="1"/>
    </xf>
    <xf numFmtId="0" fontId="21" fillId="3" borderId="23" xfId="0" applyFont="1" applyFill="1" applyBorder="1" applyAlignment="1" applyProtection="1">
      <alignment horizontal="center" vertical="center"/>
      <protection hidden="1"/>
    </xf>
    <xf numFmtId="1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54" fillId="3" borderId="1" xfId="0" applyFont="1" applyFill="1" applyBorder="1" applyAlignment="1" applyProtection="1">
      <alignment horizontal="center" vertical="center" wrapText="1"/>
      <protection hidden="1"/>
    </xf>
    <xf numFmtId="0" fontId="4" fillId="18" borderId="1" xfId="0" applyFont="1" applyFill="1" applyBorder="1" applyAlignment="1" applyProtection="1">
      <alignment horizontal="center" vertical="center" wrapText="1"/>
      <protection hidden="1"/>
    </xf>
    <xf numFmtId="2" fontId="19" fillId="6" borderId="3" xfId="2" applyNumberFormat="1" applyFont="1" applyFill="1" applyBorder="1" applyAlignment="1" applyProtection="1">
      <alignment horizontal="left" vertical="center"/>
      <protection hidden="1"/>
    </xf>
    <xf numFmtId="2" fontId="24" fillId="9" borderId="66" xfId="0" applyNumberFormat="1" applyFont="1" applyFill="1" applyBorder="1" applyAlignment="1" applyProtection="1">
      <alignment horizontal="left" vertical="center" wrapText="1"/>
      <protection hidden="1"/>
    </xf>
    <xf numFmtId="2" fontId="24" fillId="9" borderId="67" xfId="0" applyNumberFormat="1" applyFont="1" applyFill="1" applyBorder="1" applyAlignment="1" applyProtection="1">
      <alignment horizontal="left" vertical="center" wrapText="1"/>
      <protection hidden="1"/>
    </xf>
    <xf numFmtId="2" fontId="24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24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2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3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2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23" xfId="0" applyNumberFormat="1" applyFont="1" applyFill="1" applyBorder="1" applyAlignment="1" applyProtection="1">
      <alignment horizontal="center" vertical="center" wrapText="1"/>
      <protection hidden="1"/>
    </xf>
    <xf numFmtId="2" fontId="18" fillId="14" borderId="14" xfId="3" applyFont="1" applyBorder="1" applyAlignment="1" applyProtection="1">
      <alignment horizontal="center" vertical="center" wrapText="1"/>
      <protection locked="0"/>
    </xf>
    <xf numFmtId="2" fontId="18" fillId="14" borderId="15" xfId="3" applyFont="1" applyBorder="1" applyAlignment="1" applyProtection="1">
      <alignment horizontal="center" vertical="center" wrapText="1"/>
      <protection locked="0"/>
    </xf>
    <xf numFmtId="1" fontId="5" fillId="14" borderId="34" xfId="3" applyNumberFormat="1" applyFont="1" applyBorder="1" applyAlignment="1" applyProtection="1">
      <alignment horizontal="center" vertical="center" wrapText="1"/>
      <protection locked="0"/>
    </xf>
    <xf numFmtId="1" fontId="5" fillId="14" borderId="35" xfId="3" applyNumberFormat="1" applyFont="1" applyBorder="1" applyAlignment="1" applyProtection="1">
      <alignment horizontal="center" vertical="center" wrapText="1"/>
      <protection locked="0"/>
    </xf>
    <xf numFmtId="2" fontId="19" fillId="6" borderId="2" xfId="2" applyNumberFormat="1" applyFont="1" applyFill="1" applyBorder="1" applyAlignment="1" applyProtection="1">
      <alignment horizontal="left" vertical="center" wrapText="1"/>
      <protection hidden="1"/>
    </xf>
    <xf numFmtId="2" fontId="19" fillId="6" borderId="3" xfId="2" applyNumberFormat="1" applyFont="1" applyFill="1" applyBorder="1" applyAlignment="1" applyProtection="1">
      <alignment horizontal="left" vertical="center" wrapText="1"/>
      <protection hidden="1"/>
    </xf>
    <xf numFmtId="2" fontId="19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19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9" fillId="6" borderId="20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14" fontId="8" fillId="0" borderId="0" xfId="0" applyNumberFormat="1" applyFont="1" applyBorder="1" applyAlignment="1">
      <alignment horizontal="left" vertical="center" wrapText="1"/>
    </xf>
    <xf numFmtId="0" fontId="46" fillId="0" borderId="22" xfId="0" applyFont="1" applyBorder="1" applyAlignment="1">
      <alignment horizontal="justify" vertical="justify" wrapText="1" readingOrder="1"/>
    </xf>
    <xf numFmtId="0" fontId="46" fillId="0" borderId="23" xfId="0" applyFont="1" applyBorder="1" applyAlignment="1">
      <alignment horizontal="justify" vertical="justify" wrapText="1" readingOrder="1"/>
    </xf>
    <xf numFmtId="0" fontId="46" fillId="0" borderId="24" xfId="0" applyFont="1" applyBorder="1" applyAlignment="1">
      <alignment horizontal="justify" vertical="justify" wrapText="1" readingOrder="1"/>
    </xf>
    <xf numFmtId="0" fontId="46" fillId="0" borderId="41" xfId="0" applyFont="1" applyBorder="1" applyAlignment="1">
      <alignment horizontal="justify" vertical="justify" wrapText="1" readingOrder="1"/>
    </xf>
    <xf numFmtId="0" fontId="46" fillId="0" borderId="21" xfId="0" applyFont="1" applyBorder="1" applyAlignment="1">
      <alignment horizontal="justify" vertical="justify" wrapText="1" readingOrder="1"/>
    </xf>
    <xf numFmtId="0" fontId="46" fillId="0" borderId="6" xfId="0" applyFont="1" applyBorder="1" applyAlignment="1">
      <alignment horizontal="justify" vertical="justify" wrapText="1" readingOrder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justify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1" fillId="0" borderId="0" xfId="0" applyFont="1" applyAlignment="1">
      <alignment horizontal="justify" vertical="justify" wrapText="1" readingOrder="1"/>
    </xf>
    <xf numFmtId="2" fontId="8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center" vertical="center" wrapText="1"/>
    </xf>
    <xf numFmtId="164" fontId="60" fillId="0" borderId="20" xfId="0" applyNumberFormat="1" applyFont="1" applyBorder="1" applyAlignment="1">
      <alignment horizontal="center" vertical="center" wrapText="1"/>
    </xf>
    <xf numFmtId="2" fontId="61" fillId="2" borderId="11" xfId="0" applyNumberFormat="1" applyFont="1" applyFill="1" applyBorder="1" applyAlignment="1" applyProtection="1">
      <alignment horizontal="center" vertical="center" wrapText="1"/>
    </xf>
    <xf numFmtId="164" fontId="60" fillId="2" borderId="20" xfId="0" applyNumberFormat="1" applyFont="1" applyFill="1" applyBorder="1" applyAlignment="1" applyProtection="1">
      <alignment horizontal="center" vertical="center"/>
    </xf>
  </cellXfs>
  <cellStyles count="5">
    <cellStyle name="Bueno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DDEBF7"/>
      <color rgb="FF8DB4E2"/>
      <color rgb="FFF4B084"/>
      <color rgb="FFBDD7EE"/>
      <color rgb="FFFFC000"/>
      <color rgb="FFB6FD03"/>
      <color rgb="FFFF9900"/>
      <color rgb="FFFFF2CC"/>
      <color rgb="FF1F4E7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DATOS!$H$102:$H$104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A1-4DB5-BF6F-C29AAC299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3856"/>
        <c:axId val="-1578872768"/>
      </c:scatterChart>
      <c:valAx>
        <c:axId val="-157887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2768"/>
        <c:crosses val="autoZero"/>
        <c:crossBetween val="midCat"/>
      </c:valAx>
      <c:valAx>
        <c:axId val="-157887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DATOS!$H$134:$H$136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6B-4FB3-91E4-883EBE273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65696"/>
        <c:axId val="-1578866784"/>
      </c:scatterChart>
      <c:valAx>
        <c:axId val="-157886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6784"/>
        <c:crosses val="autoZero"/>
        <c:crossBetween val="midCat"/>
      </c:valAx>
      <c:valAx>
        <c:axId val="-157886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DATOS!$H$137:$H$139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78-496A-A894-21C00B589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4944"/>
        <c:axId val="-1578880928"/>
      </c:scatterChart>
      <c:valAx>
        <c:axId val="-157887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80928"/>
        <c:crosses val="autoZero"/>
        <c:crossBetween val="midCat"/>
      </c:valAx>
      <c:valAx>
        <c:axId val="-15788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DATOS!$H$140:$H$142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AB-4F46-A3FF-1700F5B7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80384"/>
        <c:axId val="-1578876576"/>
      </c:scatterChart>
      <c:valAx>
        <c:axId val="-157888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6576"/>
        <c:crosses val="autoZero"/>
        <c:crossBetween val="midCat"/>
      </c:valAx>
      <c:valAx>
        <c:axId val="-15788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8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DATOS!$H$144:$H$146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B0-4FCE-A6A5-554CB663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37344"/>
        <c:axId val="-1660140064"/>
      </c:scatterChart>
      <c:valAx>
        <c:axId val="-166013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40064"/>
        <c:crosses val="autoZero"/>
        <c:crossBetween val="midCat"/>
      </c:valAx>
      <c:valAx>
        <c:axId val="-16601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DATOS!$H$147:$H$149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90-4ABB-9C95-C833A8AC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42784"/>
        <c:axId val="-1660134080"/>
      </c:scatterChart>
      <c:valAx>
        <c:axId val="-166014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4080"/>
        <c:crosses val="autoZero"/>
        <c:crossBetween val="midCat"/>
      </c:valAx>
      <c:valAx>
        <c:axId val="-16601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4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DATOS!$H$150:$H$152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10-4DA6-A731-F6DCD240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39520"/>
        <c:axId val="-1660137888"/>
      </c:scatterChart>
      <c:valAx>
        <c:axId val="-166013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7888"/>
        <c:crosses val="autoZero"/>
        <c:crossBetween val="midCat"/>
      </c:valAx>
      <c:valAx>
        <c:axId val="-16601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2395562366844E-2"/>
          <c:y val="0.10959118038342176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'RT03-F12'!$J$125:$J$129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471686320229446"/>
                  <c:y val="-7.27123039032555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'RT03-F12'!$J$125:$J$129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'RT03-F12'!$K$125:$K$129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36256"/>
        <c:axId val="-1660138976"/>
      </c:scatterChart>
      <c:valAx>
        <c:axId val="-1660136256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8976"/>
        <c:crosses val="autoZero"/>
        <c:crossBetween val="midCat"/>
        <c:majorUnit val="1000"/>
        <c:minorUnit val="10"/>
      </c:valAx>
      <c:valAx>
        <c:axId val="-1660138976"/>
        <c:scaling>
          <c:orientation val="minMax"/>
          <c:max val="90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6256"/>
        <c:crosses val="autoZero"/>
        <c:crossBetween val="midCat"/>
        <c:majorUnit val="10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'RT03-F39'!$B$108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'RT03-F39'!$C$109:$C$113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'RT03-F39'!$C$109:$C$113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'RT03-F39'!$A$109:$A$113</c:f>
              <c:numCache>
                <c:formatCode>0.0000</c:formatCode>
                <c:ptCount val="5"/>
                <c:pt idx="0" formatCode="0.0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'RT03-F39'!$B$109:$B$113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35168"/>
        <c:axId val="-1660136800"/>
      </c:scatterChart>
      <c:valAx>
        <c:axId val="-1660135168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6800"/>
        <c:crossesAt val="0"/>
        <c:crossBetween val="midCat"/>
        <c:majorUnit val="1000"/>
        <c:minorUnit val="10"/>
      </c:valAx>
      <c:valAx>
        <c:axId val="-1660136800"/>
        <c:scaling>
          <c:orientation val="minMax"/>
          <c:max val="0.9"/>
          <c:min val="-0.9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5168"/>
        <c:crossesAt val="0"/>
        <c:crossBetween val="midCat"/>
        <c:majorUnit val="0.5"/>
        <c:minorUnit val="2.0000000000000005E-3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DATOS!$H$105:$H$107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CD-4775-A440-AAA9C601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9840"/>
        <c:axId val="-1578876032"/>
      </c:scatterChart>
      <c:valAx>
        <c:axId val="-157887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6032"/>
        <c:crosses val="autoZero"/>
        <c:crossBetween val="midCat"/>
      </c:valAx>
      <c:valAx>
        <c:axId val="-15788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DATOS!$H$108:$H$110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26-44A3-A69F-9F2A798FF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8752"/>
        <c:axId val="-1578869504"/>
      </c:scatterChart>
      <c:valAx>
        <c:axId val="-157887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9504"/>
        <c:crosses val="autoZero"/>
        <c:crossBetween val="midCat"/>
      </c:valAx>
      <c:valAx>
        <c:axId val="-1578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DATOS!$H$113:$H$115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A6-4525-8E91-27113CB2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8208"/>
        <c:axId val="-1578872224"/>
      </c:scatterChart>
      <c:valAx>
        <c:axId val="-157887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2224"/>
        <c:crosses val="autoZero"/>
        <c:crossBetween val="midCat"/>
      </c:valAx>
      <c:valAx>
        <c:axId val="-15788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DATOS!$H$116:$H$118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42-4C9C-A9B5-83AA86933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1680"/>
        <c:axId val="-1578871136"/>
      </c:scatterChart>
      <c:valAx>
        <c:axId val="-1578871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1136"/>
        <c:crosses val="autoZero"/>
        <c:crossBetween val="midCat"/>
      </c:valAx>
      <c:valAx>
        <c:axId val="-157887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1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DATOS!$H$119:$H$121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8B-4A80-85C8-82DD7D2AB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0592"/>
        <c:axId val="-1578877664"/>
      </c:scatterChart>
      <c:valAx>
        <c:axId val="-157887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7664"/>
        <c:crosses val="autoZero"/>
        <c:crossBetween val="midCat"/>
      </c:valAx>
      <c:valAx>
        <c:axId val="-15788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DATOS!$H$124:$H$126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91-40DF-8333-3F609A08A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0048"/>
        <c:axId val="-1578868960"/>
      </c:scatterChart>
      <c:valAx>
        <c:axId val="-157887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8960"/>
        <c:crosses val="autoZero"/>
        <c:crossBetween val="midCat"/>
      </c:valAx>
      <c:valAx>
        <c:axId val="-15788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DATOS!$H$127:$H$129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5A-4EBC-AA3F-C80D46853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68416"/>
        <c:axId val="-1578867872"/>
      </c:scatterChart>
      <c:valAx>
        <c:axId val="-157886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7872"/>
        <c:crosses val="autoZero"/>
        <c:crossBetween val="midCat"/>
      </c:valAx>
      <c:valAx>
        <c:axId val="-157886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DATOS!$H$130:$H$132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8F-461C-8A07-E80C2158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8877120"/>
        <c:axId val="-1578867328"/>
      </c:scatterChart>
      <c:valAx>
        <c:axId val="-157887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67328"/>
        <c:crosses val="autoZero"/>
        <c:crossBetween val="midCat"/>
      </c:valAx>
      <c:valAx>
        <c:axId val="-157886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7887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6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71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79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74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73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72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79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76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98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77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78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81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94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92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88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102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107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106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107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107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115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117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116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117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107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113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115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131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85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87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90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91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92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86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122</xdr:row>
      <xdr:rowOff>67235</xdr:rowOff>
    </xdr:from>
    <xdr:to>
      <xdr:col>8</xdr:col>
      <xdr:colOff>974913</xdr:colOff>
      <xdr:row>129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973668</xdr:colOff>
      <xdr:row>103</xdr:row>
      <xdr:rowOff>84667</xdr:rowOff>
    </xdr:from>
    <xdr:ext cx="317500" cy="216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 txBox="1"/>
          </xdr:nvSpPr>
          <xdr:spPr>
            <a:xfrm>
              <a:off x="5418668" y="42259250"/>
              <a:ext cx="317500" cy="216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4" name="CuadroTexto 5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5418668" y="42259250"/>
              <a:ext cx="317500" cy="216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𝑔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71</xdr:row>
      <xdr:rowOff>116498</xdr:rowOff>
    </xdr:from>
    <xdr:to>
      <xdr:col>5</xdr:col>
      <xdr:colOff>609376</xdr:colOff>
      <xdr:row>76</xdr:row>
      <xdr:rowOff>112481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002" y="16308998"/>
          <a:ext cx="2397370" cy="118291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157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7174" y="36947475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122</xdr:row>
      <xdr:rowOff>157368</xdr:rowOff>
    </xdr:from>
    <xdr:to>
      <xdr:col>5</xdr:col>
      <xdr:colOff>704024</xdr:colOff>
      <xdr:row>138</xdr:row>
      <xdr:rowOff>157369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304800</xdr:colOff>
      <xdr:row>185</xdr:row>
      <xdr:rowOff>95983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185</xdr:row>
      <xdr:rowOff>95983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157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3009" y="307083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23009" y="307083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156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935771" y="305959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935771" y="305959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  <xdr:twoCellAnchor>
    <xdr:from>
      <xdr:col>0</xdr:col>
      <xdr:colOff>17318</xdr:colOff>
      <xdr:row>56</xdr:row>
      <xdr:rowOff>25977</xdr:rowOff>
    </xdr:from>
    <xdr:to>
      <xdr:col>0</xdr:col>
      <xdr:colOff>969818</xdr:colOff>
      <xdr:row>56</xdr:row>
      <xdr:rowOff>242454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7318" y="11438659"/>
          <a:ext cx="952500" cy="2164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17318</xdr:colOff>
      <xdr:row>56</xdr:row>
      <xdr:rowOff>8659</xdr:rowOff>
    </xdr:from>
    <xdr:to>
      <xdr:col>1</xdr:col>
      <xdr:colOff>969818</xdr:colOff>
      <xdr:row>56</xdr:row>
      <xdr:rowOff>225136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995795" y="11421341"/>
          <a:ext cx="952500" cy="2164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952500</xdr:colOff>
      <xdr:row>56</xdr:row>
      <xdr:rowOff>216477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1956955" y="11412682"/>
          <a:ext cx="952500" cy="2164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  <row r="23">
          <cell r="I23" t="str">
            <v xml:space="preserve">                +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zoomScale="60" zoomScaleNormal="20" workbookViewId="0">
      <selection activeCell="L5" sqref="L5"/>
    </sheetView>
  </sheetViews>
  <sheetFormatPr baseColWidth="10" defaultColWidth="15.7109375" defaultRowHeight="15" x14ac:dyDescent="0.2"/>
  <cols>
    <col min="1" max="1" width="15.7109375" style="287"/>
    <col min="2" max="14" width="20.7109375" style="287" customWidth="1"/>
    <col min="15" max="16" width="20.7109375" style="289" customWidth="1"/>
    <col min="17" max="17" width="24.28515625" style="289" customWidth="1"/>
    <col min="18" max="26" width="20.7109375" style="289" customWidth="1"/>
    <col min="27" max="33" width="20.7109375" style="287" customWidth="1"/>
    <col min="34" max="34" width="19.85546875" style="287" bestFit="1" customWidth="1"/>
    <col min="35" max="38" width="15.85546875" style="287" bestFit="1" customWidth="1"/>
    <col min="39" max="43" width="16" style="287" customWidth="1"/>
    <col min="44" max="47" width="10.7109375" style="287" customWidth="1"/>
    <col min="48" max="48" width="16" style="287" bestFit="1" customWidth="1"/>
    <col min="49" max="49" width="15.85546875" style="287" bestFit="1" customWidth="1"/>
    <col min="50" max="50" width="20.7109375" style="287" bestFit="1" customWidth="1"/>
    <col min="51" max="51" width="15.85546875" style="287" bestFit="1" customWidth="1"/>
    <col min="52" max="52" width="15.7109375" style="287"/>
    <col min="53" max="53" width="20" style="287" customWidth="1"/>
    <col min="54" max="55" width="10.7109375" style="287" customWidth="1"/>
    <col min="56" max="16384" width="15.7109375" style="287"/>
  </cols>
  <sheetData>
    <row r="1" spans="2:83" ht="30" customHeight="1" x14ac:dyDescent="0.2"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2:83" ht="30" customHeight="1" thickBot="1" x14ac:dyDescent="0.25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2:83" ht="30" customHeight="1" x14ac:dyDescent="0.2">
      <c r="B3" s="288"/>
      <c r="C3" s="633" t="s">
        <v>188</v>
      </c>
      <c r="D3" s="634"/>
      <c r="E3" s="634"/>
      <c r="F3" s="634"/>
      <c r="G3" s="634"/>
      <c r="H3" s="634"/>
      <c r="I3" s="634"/>
      <c r="J3" s="634"/>
      <c r="K3" s="635"/>
      <c r="L3" s="288"/>
      <c r="M3" s="288"/>
    </row>
    <row r="4" spans="2:83" ht="30" customHeight="1" thickBot="1" x14ac:dyDescent="0.25">
      <c r="B4" s="288"/>
      <c r="C4" s="636"/>
      <c r="D4" s="637"/>
      <c r="E4" s="637"/>
      <c r="F4" s="637"/>
      <c r="G4" s="637"/>
      <c r="H4" s="637"/>
      <c r="I4" s="637"/>
      <c r="J4" s="637"/>
      <c r="K4" s="638"/>
      <c r="L4" s="288"/>
      <c r="M4" s="288"/>
    </row>
    <row r="5" spans="2:83" ht="30" customHeight="1" x14ac:dyDescent="0.2">
      <c r="B5" s="288"/>
      <c r="C5" s="639" t="s">
        <v>189</v>
      </c>
      <c r="D5" s="641" t="s">
        <v>7</v>
      </c>
      <c r="E5" s="641" t="s">
        <v>190</v>
      </c>
      <c r="F5" s="641" t="s">
        <v>8</v>
      </c>
      <c r="G5" s="641" t="s">
        <v>79</v>
      </c>
      <c r="H5" s="641" t="s">
        <v>191</v>
      </c>
      <c r="I5" s="641" t="s">
        <v>86</v>
      </c>
      <c r="J5" s="641" t="s">
        <v>192</v>
      </c>
      <c r="K5" s="643" t="s">
        <v>193</v>
      </c>
      <c r="L5" s="288"/>
      <c r="M5" s="288"/>
    </row>
    <row r="6" spans="2:83" ht="30" customHeight="1" thickBot="1" x14ac:dyDescent="0.25">
      <c r="B6" s="288"/>
      <c r="C6" s="640"/>
      <c r="D6" s="642"/>
      <c r="E6" s="642"/>
      <c r="F6" s="642"/>
      <c r="G6" s="642"/>
      <c r="H6" s="642"/>
      <c r="I6" s="642"/>
      <c r="J6" s="642"/>
      <c r="K6" s="644"/>
      <c r="L6" s="288" t="s">
        <v>139</v>
      </c>
      <c r="M6" s="288"/>
    </row>
    <row r="7" spans="2:83" ht="30" customHeight="1" x14ac:dyDescent="0.2">
      <c r="B7" s="288"/>
      <c r="C7" s="290"/>
      <c r="D7" s="279"/>
      <c r="E7" s="279"/>
      <c r="F7" s="279"/>
      <c r="G7" s="279"/>
      <c r="H7" s="279"/>
      <c r="I7" s="279"/>
      <c r="J7" s="279"/>
      <c r="K7" s="280"/>
      <c r="L7" s="288"/>
      <c r="M7" s="288"/>
    </row>
    <row r="8" spans="2:83" s="293" customFormat="1" ht="30" customHeight="1" x14ac:dyDescent="0.2">
      <c r="B8" s="291"/>
      <c r="C8" s="292">
        <v>1</v>
      </c>
      <c r="D8" s="281"/>
      <c r="E8" s="282"/>
      <c r="F8" s="283"/>
      <c r="G8" s="283"/>
      <c r="H8" s="283"/>
      <c r="I8" s="282"/>
      <c r="J8" s="281"/>
      <c r="K8" s="284"/>
      <c r="L8" s="288" t="s">
        <v>413</v>
      </c>
      <c r="M8" s="288"/>
      <c r="N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CD8" s="287"/>
      <c r="CE8" s="287"/>
    </row>
    <row r="9" spans="2:83" s="293" customFormat="1" ht="30" customHeight="1" thickBot="1" x14ac:dyDescent="0.25">
      <c r="B9" s="291"/>
      <c r="C9" s="294"/>
      <c r="D9" s="285"/>
      <c r="E9" s="285"/>
      <c r="F9" s="285"/>
      <c r="G9" s="285"/>
      <c r="H9" s="285"/>
      <c r="I9" s="285"/>
      <c r="J9" s="285"/>
      <c r="K9" s="286"/>
      <c r="L9" s="291"/>
      <c r="M9" s="288"/>
      <c r="N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CD9" s="287"/>
      <c r="CE9" s="287"/>
    </row>
    <row r="10" spans="2:83" s="293" customFormat="1" ht="30" customHeight="1" x14ac:dyDescent="0.2"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88"/>
      <c r="N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CD10" s="287"/>
      <c r="CE10" s="287"/>
    </row>
    <row r="11" spans="2:83" s="293" customFormat="1" ht="30" customHeight="1" thickBot="1" x14ac:dyDescent="0.25"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88"/>
      <c r="N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CD11" s="287"/>
      <c r="CE11" s="287"/>
    </row>
    <row r="12" spans="2:83" s="293" customFormat="1" ht="30" customHeight="1" x14ac:dyDescent="0.2">
      <c r="B12" s="291"/>
      <c r="C12" s="615" t="s">
        <v>311</v>
      </c>
      <c r="D12" s="616"/>
      <c r="E12" s="616"/>
      <c r="F12" s="616"/>
      <c r="G12" s="616"/>
      <c r="H12" s="616"/>
      <c r="I12" s="616"/>
      <c r="J12" s="616"/>
      <c r="K12" s="616"/>
      <c r="L12" s="617"/>
      <c r="M12" s="288"/>
      <c r="N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CD12" s="287"/>
      <c r="CE12" s="287"/>
    </row>
    <row r="13" spans="2:83" ht="30" customHeight="1" thickBot="1" x14ac:dyDescent="0.25">
      <c r="B13" s="291"/>
      <c r="C13" s="618"/>
      <c r="D13" s="619"/>
      <c r="E13" s="619"/>
      <c r="F13" s="619"/>
      <c r="G13" s="619"/>
      <c r="H13" s="619"/>
      <c r="I13" s="619"/>
      <c r="J13" s="619"/>
      <c r="K13" s="619"/>
      <c r="L13" s="620"/>
      <c r="M13" s="288"/>
    </row>
    <row r="14" spans="2:83" ht="30" customHeight="1" x14ac:dyDescent="0.2">
      <c r="B14" s="291"/>
      <c r="C14" s="621" t="s">
        <v>189</v>
      </c>
      <c r="D14" s="623" t="s">
        <v>3</v>
      </c>
      <c r="E14" s="623" t="s">
        <v>9</v>
      </c>
      <c r="F14" s="623" t="s">
        <v>1</v>
      </c>
      <c r="G14" s="625" t="s">
        <v>46</v>
      </c>
      <c r="H14" s="625" t="s">
        <v>49</v>
      </c>
      <c r="I14" s="623" t="s">
        <v>322</v>
      </c>
      <c r="J14" s="627" t="s">
        <v>70</v>
      </c>
      <c r="K14" s="629" t="s">
        <v>192</v>
      </c>
      <c r="L14" s="631" t="s">
        <v>251</v>
      </c>
      <c r="M14" s="288"/>
    </row>
    <row r="15" spans="2:83" ht="30" customHeight="1" thickBot="1" x14ac:dyDescent="0.25">
      <c r="B15" s="291"/>
      <c r="C15" s="622"/>
      <c r="D15" s="624"/>
      <c r="E15" s="624"/>
      <c r="F15" s="624"/>
      <c r="G15" s="626"/>
      <c r="H15" s="626"/>
      <c r="I15" s="624"/>
      <c r="J15" s="628"/>
      <c r="K15" s="630"/>
      <c r="L15" s="632"/>
      <c r="M15" s="288"/>
    </row>
    <row r="16" spans="2:83" ht="30" customHeight="1" x14ac:dyDescent="0.2">
      <c r="B16" s="291"/>
      <c r="C16" s="290"/>
      <c r="D16" s="279"/>
      <c r="E16" s="279"/>
      <c r="F16" s="279"/>
      <c r="G16" s="279"/>
      <c r="H16" s="279"/>
      <c r="I16" s="279"/>
      <c r="J16" s="279"/>
      <c r="K16" s="279"/>
      <c r="L16" s="280"/>
      <c r="M16" s="288"/>
    </row>
    <row r="17" spans="2:46" ht="30" customHeight="1" x14ac:dyDescent="0.2">
      <c r="B17" s="291"/>
      <c r="C17" s="292">
        <v>1</v>
      </c>
      <c r="D17" s="283"/>
      <c r="E17" s="283"/>
      <c r="F17" s="283"/>
      <c r="G17" s="283"/>
      <c r="H17" s="283"/>
      <c r="I17" s="283"/>
      <c r="J17" s="283"/>
      <c r="K17" s="283"/>
      <c r="L17" s="295"/>
      <c r="M17" s="288"/>
    </row>
    <row r="18" spans="2:46" ht="30" customHeight="1" thickBot="1" x14ac:dyDescent="0.25">
      <c r="B18" s="291"/>
      <c r="C18" s="296"/>
      <c r="D18" s="297"/>
      <c r="E18" s="297"/>
      <c r="F18" s="297"/>
      <c r="G18" s="298"/>
      <c r="H18" s="298"/>
      <c r="I18" s="297"/>
      <c r="J18" s="297"/>
      <c r="K18" s="298"/>
      <c r="L18" s="299"/>
      <c r="M18" s="288"/>
    </row>
    <row r="19" spans="2:46" ht="30" customHeight="1" x14ac:dyDescent="0.2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88"/>
    </row>
    <row r="20" spans="2:46" ht="30" customHeight="1" x14ac:dyDescent="0.2"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88"/>
      <c r="AS20" s="291"/>
      <c r="AT20" s="288"/>
    </row>
    <row r="21" spans="2:46" ht="30" customHeight="1" x14ac:dyDescent="0.2"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88"/>
      <c r="AS21" s="291"/>
      <c r="AT21" s="288"/>
    </row>
    <row r="22" spans="2:46" ht="30" customHeight="1" thickBot="1" x14ac:dyDescent="0.25"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88"/>
      <c r="AS22" s="291"/>
      <c r="AT22" s="288"/>
    </row>
    <row r="23" spans="2:46" ht="30" customHeight="1" x14ac:dyDescent="0.2">
      <c r="B23" s="291"/>
      <c r="C23" s="633" t="s">
        <v>318</v>
      </c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5"/>
      <c r="AS23" s="291"/>
      <c r="AT23" s="288"/>
    </row>
    <row r="24" spans="2:46" ht="30" customHeight="1" thickBot="1" x14ac:dyDescent="0.25">
      <c r="B24" s="291"/>
      <c r="C24" s="636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8"/>
      <c r="AS24" s="291"/>
      <c r="AT24" s="288"/>
    </row>
    <row r="25" spans="2:46" ht="30" customHeight="1" x14ac:dyDescent="0.2">
      <c r="B25" s="291"/>
      <c r="C25" s="660" t="s">
        <v>194</v>
      </c>
      <c r="D25" s="662" t="s">
        <v>0</v>
      </c>
      <c r="E25" s="662" t="s">
        <v>3</v>
      </c>
      <c r="F25" s="662" t="s">
        <v>1</v>
      </c>
      <c r="G25" s="662" t="s">
        <v>195</v>
      </c>
      <c r="H25" s="662" t="s">
        <v>193</v>
      </c>
      <c r="I25" s="658" t="s">
        <v>86</v>
      </c>
      <c r="J25" s="658" t="s">
        <v>196</v>
      </c>
      <c r="K25" s="664" t="s">
        <v>319</v>
      </c>
      <c r="L25" s="664" t="s">
        <v>320</v>
      </c>
      <c r="M25" s="662" t="s">
        <v>197</v>
      </c>
      <c r="N25" s="664" t="s">
        <v>325</v>
      </c>
      <c r="O25" s="658" t="s">
        <v>198</v>
      </c>
      <c r="P25" s="658" t="s">
        <v>367</v>
      </c>
      <c r="Q25" s="656" t="s">
        <v>199</v>
      </c>
      <c r="R25" s="648" t="s">
        <v>128</v>
      </c>
      <c r="AS25" s="291"/>
    </row>
    <row r="26" spans="2:46" ht="30" customHeight="1" thickBot="1" x14ac:dyDescent="0.25">
      <c r="B26" s="291"/>
      <c r="C26" s="661"/>
      <c r="D26" s="663"/>
      <c r="E26" s="663"/>
      <c r="F26" s="663"/>
      <c r="G26" s="663"/>
      <c r="H26" s="663"/>
      <c r="I26" s="659"/>
      <c r="J26" s="659"/>
      <c r="K26" s="665"/>
      <c r="L26" s="665"/>
      <c r="M26" s="663"/>
      <c r="N26" s="665"/>
      <c r="O26" s="659"/>
      <c r="P26" s="659"/>
      <c r="Q26" s="657"/>
      <c r="R26" s="649"/>
      <c r="AS26" s="291"/>
    </row>
    <row r="27" spans="2:46" ht="30" customHeight="1" thickBot="1" x14ac:dyDescent="0.25">
      <c r="B27" s="291"/>
      <c r="C27" s="300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2"/>
      <c r="R27" s="303"/>
      <c r="AS27" s="291"/>
    </row>
    <row r="28" spans="2:46" ht="30" customHeight="1" x14ac:dyDescent="0.2">
      <c r="B28" s="645" t="s">
        <v>328</v>
      </c>
      <c r="C28" s="323" t="s">
        <v>312</v>
      </c>
      <c r="D28" s="390" t="s">
        <v>317</v>
      </c>
      <c r="E28" s="390" t="s">
        <v>265</v>
      </c>
      <c r="F28" s="390" t="s">
        <v>266</v>
      </c>
      <c r="G28" s="390" t="s">
        <v>267</v>
      </c>
      <c r="H28" s="390" t="s">
        <v>323</v>
      </c>
      <c r="I28" s="325">
        <v>42683</v>
      </c>
      <c r="J28" s="390">
        <v>5</v>
      </c>
      <c r="K28" s="390">
        <v>5</v>
      </c>
      <c r="L28" s="390">
        <v>100</v>
      </c>
      <c r="M28" s="327">
        <v>0.09</v>
      </c>
      <c r="N28" s="326">
        <f>J28+(M28)/1000</f>
        <v>5.0000900000000001</v>
      </c>
      <c r="O28" s="390">
        <v>5.2999999999999999E-2</v>
      </c>
      <c r="P28" s="308">
        <v>0.88529999999999998</v>
      </c>
      <c r="Q28" s="390" t="s">
        <v>324</v>
      </c>
      <c r="R28" s="329" t="s">
        <v>330</v>
      </c>
      <c r="AS28" s="291"/>
    </row>
    <row r="29" spans="2:46" ht="30" customHeight="1" x14ac:dyDescent="0.2">
      <c r="B29" s="646"/>
      <c r="C29" s="310" t="s">
        <v>313</v>
      </c>
      <c r="D29" s="391" t="s">
        <v>317</v>
      </c>
      <c r="E29" s="391" t="s">
        <v>265</v>
      </c>
      <c r="F29" s="391" t="s">
        <v>266</v>
      </c>
      <c r="G29" s="391" t="s">
        <v>267</v>
      </c>
      <c r="H29" s="391" t="s">
        <v>323</v>
      </c>
      <c r="I29" s="312">
        <v>42683</v>
      </c>
      <c r="J29" s="391">
        <v>200</v>
      </c>
      <c r="K29" s="391">
        <v>10</v>
      </c>
      <c r="L29" s="391">
        <v>200</v>
      </c>
      <c r="M29" s="391">
        <v>0.05</v>
      </c>
      <c r="N29" s="313">
        <f t="shared" ref="N29:N32" si="0">J29+(M29)/1000</f>
        <v>200.00004999999999</v>
      </c>
      <c r="O29" s="314">
        <v>0.33</v>
      </c>
      <c r="P29" s="315">
        <v>0.88470000000000004</v>
      </c>
      <c r="Q29" s="391" t="s">
        <v>324</v>
      </c>
      <c r="R29" s="309" t="s">
        <v>330</v>
      </c>
      <c r="AS29" s="291"/>
    </row>
    <row r="30" spans="2:46" ht="30" customHeight="1" x14ac:dyDescent="0.2">
      <c r="B30" s="646"/>
      <c r="C30" s="310" t="s">
        <v>314</v>
      </c>
      <c r="D30" s="391" t="s">
        <v>317</v>
      </c>
      <c r="E30" s="391" t="s">
        <v>265</v>
      </c>
      <c r="F30" s="391" t="s">
        <v>266</v>
      </c>
      <c r="G30" s="391" t="s">
        <v>267</v>
      </c>
      <c r="H30" s="391" t="s">
        <v>323</v>
      </c>
      <c r="I30" s="312">
        <v>42683</v>
      </c>
      <c r="J30" s="391">
        <v>1000</v>
      </c>
      <c r="K30" s="391">
        <v>200</v>
      </c>
      <c r="L30" s="391">
        <v>500</v>
      </c>
      <c r="M30" s="391">
        <v>-0.2</v>
      </c>
      <c r="N30" s="316">
        <f t="shared" si="0"/>
        <v>999.99980000000005</v>
      </c>
      <c r="O30" s="317">
        <v>1.7</v>
      </c>
      <c r="P30" s="315">
        <v>0.88219999999999998</v>
      </c>
      <c r="Q30" s="391" t="s">
        <v>324</v>
      </c>
      <c r="R30" s="309" t="s">
        <v>330</v>
      </c>
      <c r="AS30" s="291"/>
    </row>
    <row r="31" spans="2:46" ht="30" customHeight="1" x14ac:dyDescent="0.2">
      <c r="B31" s="646"/>
      <c r="C31" s="310" t="s">
        <v>315</v>
      </c>
      <c r="D31" s="391" t="s">
        <v>317</v>
      </c>
      <c r="E31" s="391" t="s">
        <v>265</v>
      </c>
      <c r="F31" s="391" t="s">
        <v>266</v>
      </c>
      <c r="G31" s="391" t="s">
        <v>267</v>
      </c>
      <c r="H31" s="391" t="s">
        <v>323</v>
      </c>
      <c r="I31" s="312">
        <v>42683</v>
      </c>
      <c r="J31" s="391">
        <v>2000</v>
      </c>
      <c r="K31" s="391">
        <v>1000</v>
      </c>
      <c r="L31" s="391">
        <v>1000</v>
      </c>
      <c r="M31" s="391">
        <v>4.5999999999999996</v>
      </c>
      <c r="N31" s="316">
        <f t="shared" si="0"/>
        <v>2000.0046</v>
      </c>
      <c r="O31" s="391">
        <v>3.3</v>
      </c>
      <c r="P31" s="315">
        <v>0.88249999999999995</v>
      </c>
      <c r="Q31" s="391" t="s">
        <v>324</v>
      </c>
      <c r="R31" s="309" t="s">
        <v>330</v>
      </c>
      <c r="AS31" s="291"/>
    </row>
    <row r="32" spans="2:46" ht="30" customHeight="1" thickBot="1" x14ac:dyDescent="0.25">
      <c r="B32" s="647"/>
      <c r="C32" s="318" t="s">
        <v>316</v>
      </c>
      <c r="D32" s="319" t="s">
        <v>317</v>
      </c>
      <c r="E32" s="319" t="s">
        <v>265</v>
      </c>
      <c r="F32" s="319" t="s">
        <v>266</v>
      </c>
      <c r="G32" s="319" t="s">
        <v>267</v>
      </c>
      <c r="H32" s="319" t="s">
        <v>323</v>
      </c>
      <c r="I32" s="320">
        <v>42683</v>
      </c>
      <c r="J32" s="319">
        <v>5000</v>
      </c>
      <c r="K32" s="319">
        <v>2000</v>
      </c>
      <c r="L32" s="319">
        <v>2000</v>
      </c>
      <c r="M32" s="319">
        <v>4.8</v>
      </c>
      <c r="N32" s="321">
        <f t="shared" si="0"/>
        <v>5000.0047999999997</v>
      </c>
      <c r="O32" s="319">
        <v>8.3000000000000007</v>
      </c>
      <c r="P32" s="322">
        <v>0.88319999999999999</v>
      </c>
      <c r="Q32" s="319" t="s">
        <v>324</v>
      </c>
      <c r="R32" s="348" t="s">
        <v>330</v>
      </c>
      <c r="AS32" s="291"/>
    </row>
    <row r="33" spans="2:45" ht="30" customHeight="1" x14ac:dyDescent="0.2">
      <c r="B33" s="442"/>
      <c r="C33" s="323"/>
      <c r="D33" s="390"/>
      <c r="E33" s="390"/>
      <c r="F33" s="390"/>
      <c r="G33" s="390"/>
      <c r="H33" s="390"/>
      <c r="I33" s="325"/>
      <c r="J33" s="390"/>
      <c r="K33" s="390"/>
      <c r="L33" s="390"/>
      <c r="M33" s="390"/>
      <c r="N33" s="328"/>
      <c r="O33" s="390"/>
      <c r="P33" s="390"/>
      <c r="Q33" s="390"/>
      <c r="R33" s="329"/>
      <c r="AS33" s="291"/>
    </row>
    <row r="34" spans="2:45" ht="30" customHeight="1" x14ac:dyDescent="0.2">
      <c r="B34" s="442"/>
      <c r="C34" s="310"/>
      <c r="D34" s="391"/>
      <c r="E34" s="391"/>
      <c r="F34" s="391"/>
      <c r="G34" s="391"/>
      <c r="H34" s="391"/>
      <c r="I34" s="312"/>
      <c r="J34" s="391"/>
      <c r="K34" s="391"/>
      <c r="L34" s="391"/>
      <c r="M34" s="391"/>
      <c r="N34" s="316"/>
      <c r="O34" s="391"/>
      <c r="P34" s="391"/>
      <c r="Q34" s="391"/>
      <c r="R34" s="332"/>
      <c r="AS34" s="291"/>
    </row>
    <row r="35" spans="2:45" ht="30" customHeight="1" x14ac:dyDescent="0.2">
      <c r="B35" s="442"/>
      <c r="C35" s="310"/>
      <c r="D35" s="391"/>
      <c r="E35" s="391"/>
      <c r="F35" s="391"/>
      <c r="G35" s="391"/>
      <c r="H35" s="391"/>
      <c r="I35" s="312"/>
      <c r="J35" s="391"/>
      <c r="K35" s="391"/>
      <c r="L35" s="391"/>
      <c r="M35" s="391"/>
      <c r="N35" s="316"/>
      <c r="O35" s="391"/>
      <c r="P35" s="391"/>
      <c r="Q35" s="391"/>
      <c r="R35" s="332"/>
      <c r="AS35" s="291"/>
    </row>
    <row r="36" spans="2:45" ht="30" customHeight="1" thickBot="1" x14ac:dyDescent="0.25">
      <c r="B36" s="442"/>
      <c r="C36" s="334"/>
      <c r="D36" s="392"/>
      <c r="E36" s="392"/>
      <c r="F36" s="392"/>
      <c r="G36" s="392"/>
      <c r="H36" s="392"/>
      <c r="I36" s="336"/>
      <c r="J36" s="392"/>
      <c r="K36" s="392"/>
      <c r="L36" s="392"/>
      <c r="M36" s="392"/>
      <c r="N36" s="337"/>
      <c r="O36" s="392"/>
      <c r="P36" s="392"/>
      <c r="Q36" s="392"/>
      <c r="R36" s="339"/>
      <c r="AS36" s="291"/>
    </row>
    <row r="37" spans="2:45" ht="30" customHeight="1" thickBot="1" x14ac:dyDescent="0.25">
      <c r="B37" s="291"/>
      <c r="C37" s="462"/>
      <c r="D37" s="393"/>
      <c r="E37" s="393"/>
      <c r="F37" s="393"/>
      <c r="G37" s="393"/>
      <c r="H37" s="393"/>
      <c r="I37" s="393"/>
      <c r="J37" s="393"/>
      <c r="M37" s="393"/>
      <c r="N37" s="393"/>
      <c r="O37" s="393"/>
      <c r="P37" s="347"/>
      <c r="Q37" s="393"/>
      <c r="R37" s="348"/>
      <c r="AS37" s="291"/>
    </row>
    <row r="38" spans="2:45" ht="30" customHeight="1" x14ac:dyDescent="0.2">
      <c r="B38" s="653" t="s">
        <v>332</v>
      </c>
      <c r="C38" s="323" t="s">
        <v>200</v>
      </c>
      <c r="D38" s="390" t="s">
        <v>201</v>
      </c>
      <c r="E38" s="390" t="s">
        <v>184</v>
      </c>
      <c r="F38" s="390">
        <v>27129360</v>
      </c>
      <c r="G38" s="390" t="s">
        <v>202</v>
      </c>
      <c r="H38" s="390">
        <v>1230</v>
      </c>
      <c r="I38" s="325">
        <v>42631</v>
      </c>
      <c r="J38" s="390">
        <v>1</v>
      </c>
      <c r="K38" s="390">
        <v>4000</v>
      </c>
      <c r="L38" s="390">
        <v>5000</v>
      </c>
      <c r="M38" s="390">
        <v>6.0000000000000001E-3</v>
      </c>
      <c r="N38" s="326">
        <f>J38+(M38)/1000</f>
        <v>1.000006</v>
      </c>
      <c r="O38" s="327">
        <v>0.01</v>
      </c>
      <c r="P38" s="328">
        <f>(0.34848*((752.597+755.909)/2)-0.009024*((44.5+51.2)/2)*EXP(0.0612*((19.7+20.8)/2)))/(273.15+((19.7+20.8)/2))</f>
        <v>0.89076687525312348</v>
      </c>
      <c r="Q38" s="390" t="s">
        <v>203</v>
      </c>
      <c r="R38" s="329" t="s">
        <v>331</v>
      </c>
      <c r="AS38" s="291"/>
    </row>
    <row r="39" spans="2:45" ht="30" customHeight="1" x14ac:dyDescent="0.2">
      <c r="B39" s="654"/>
      <c r="C39" s="310" t="s">
        <v>204</v>
      </c>
      <c r="D39" s="391" t="s">
        <v>201</v>
      </c>
      <c r="E39" s="391" t="s">
        <v>184</v>
      </c>
      <c r="F39" s="391">
        <v>27129360</v>
      </c>
      <c r="G39" s="391" t="s">
        <v>205</v>
      </c>
      <c r="H39" s="391">
        <v>1230</v>
      </c>
      <c r="I39" s="312">
        <v>42631</v>
      </c>
      <c r="J39" s="391">
        <v>2</v>
      </c>
      <c r="K39" s="391">
        <v>5000</v>
      </c>
      <c r="L39" s="330">
        <v>6000</v>
      </c>
      <c r="M39" s="391">
        <v>6.0000000000000001E-3</v>
      </c>
      <c r="N39" s="331">
        <f t="shared" ref="N39:N88" si="1">J39+(M39)/1000</f>
        <v>2.000006</v>
      </c>
      <c r="O39" s="391">
        <v>1.2E-2</v>
      </c>
      <c r="P39" s="316">
        <f t="shared" ref="P39:P54" si="2">(0.34848*((752.597+755.909)/2)-0.009024*((44.5+51.2)/2)*EXP(0.0612*((19.7+20.8)/2)))/(273.15+((19.7+20.8)/2))</f>
        <v>0.89076687525312348</v>
      </c>
      <c r="Q39" s="391" t="str">
        <f t="shared" ref="Q39:Q54" si="3">Q38</f>
        <v>M-001</v>
      </c>
      <c r="R39" s="332" t="s">
        <v>331</v>
      </c>
      <c r="AS39" s="291"/>
    </row>
    <row r="40" spans="2:45" ht="30" customHeight="1" x14ac:dyDescent="0.2">
      <c r="B40" s="654"/>
      <c r="C40" s="310" t="s">
        <v>206</v>
      </c>
      <c r="D40" s="391" t="s">
        <v>201</v>
      </c>
      <c r="E40" s="391" t="s">
        <v>184</v>
      </c>
      <c r="F40" s="391">
        <v>27129360</v>
      </c>
      <c r="G40" s="391" t="s">
        <v>207</v>
      </c>
      <c r="H40" s="391">
        <v>1230</v>
      </c>
      <c r="I40" s="312">
        <v>42631</v>
      </c>
      <c r="J40" s="391">
        <v>2</v>
      </c>
      <c r="K40" s="391">
        <v>10000</v>
      </c>
      <c r="L40" s="330">
        <v>7000</v>
      </c>
      <c r="M40" s="391">
        <v>1.2999999999999999E-2</v>
      </c>
      <c r="N40" s="331">
        <f t="shared" si="1"/>
        <v>2.000013</v>
      </c>
      <c r="O40" s="391">
        <v>1.2E-2</v>
      </c>
      <c r="P40" s="316">
        <f t="shared" si="2"/>
        <v>0.89076687525312348</v>
      </c>
      <c r="Q40" s="391" t="str">
        <f t="shared" si="3"/>
        <v>M-001</v>
      </c>
      <c r="R40" s="332" t="s">
        <v>331</v>
      </c>
      <c r="AS40" s="291"/>
    </row>
    <row r="41" spans="2:45" ht="30" customHeight="1" x14ac:dyDescent="0.2">
      <c r="B41" s="654"/>
      <c r="C41" s="310" t="s">
        <v>208</v>
      </c>
      <c r="D41" s="391" t="s">
        <v>201</v>
      </c>
      <c r="E41" s="391" t="s">
        <v>184</v>
      </c>
      <c r="F41" s="391">
        <v>27129360</v>
      </c>
      <c r="G41" s="391" t="s">
        <v>209</v>
      </c>
      <c r="H41" s="391">
        <v>1230</v>
      </c>
      <c r="I41" s="312">
        <v>42631</v>
      </c>
      <c r="J41" s="391">
        <v>5</v>
      </c>
      <c r="K41" s="391">
        <v>15000</v>
      </c>
      <c r="L41" s="330">
        <v>8000</v>
      </c>
      <c r="M41" s="333">
        <v>-2E-3</v>
      </c>
      <c r="N41" s="331">
        <f t="shared" si="1"/>
        <v>4.9999979999999997</v>
      </c>
      <c r="O41" s="391">
        <v>1.6E-2</v>
      </c>
      <c r="P41" s="316">
        <f t="shared" si="2"/>
        <v>0.89076687525312348</v>
      </c>
      <c r="Q41" s="391" t="str">
        <f t="shared" si="3"/>
        <v>M-001</v>
      </c>
      <c r="R41" s="332" t="s">
        <v>331</v>
      </c>
      <c r="AS41" s="291"/>
    </row>
    <row r="42" spans="2:45" ht="30" customHeight="1" x14ac:dyDescent="0.2">
      <c r="B42" s="654"/>
      <c r="C42" s="310" t="s">
        <v>210</v>
      </c>
      <c r="D42" s="391" t="s">
        <v>201</v>
      </c>
      <c r="E42" s="391" t="s">
        <v>184</v>
      </c>
      <c r="F42" s="391">
        <v>27129360</v>
      </c>
      <c r="G42" s="391" t="s">
        <v>211</v>
      </c>
      <c r="H42" s="391">
        <v>1230</v>
      </c>
      <c r="I42" s="312">
        <v>42631</v>
      </c>
      <c r="J42" s="391">
        <v>10</v>
      </c>
      <c r="K42" s="391">
        <v>20000</v>
      </c>
      <c r="L42" s="330">
        <v>8200</v>
      </c>
      <c r="M42" s="391">
        <v>4.0000000000000001E-3</v>
      </c>
      <c r="N42" s="331">
        <f t="shared" si="1"/>
        <v>10.000004000000001</v>
      </c>
      <c r="O42" s="333">
        <v>0.02</v>
      </c>
      <c r="P42" s="316">
        <f t="shared" si="2"/>
        <v>0.89076687525312348</v>
      </c>
      <c r="Q42" s="391" t="str">
        <f t="shared" si="3"/>
        <v>M-001</v>
      </c>
      <c r="R42" s="332" t="s">
        <v>331</v>
      </c>
      <c r="AS42" s="291"/>
    </row>
    <row r="43" spans="2:45" ht="30" customHeight="1" x14ac:dyDescent="0.2">
      <c r="B43" s="654"/>
      <c r="C43" s="310" t="s">
        <v>212</v>
      </c>
      <c r="D43" s="391" t="s">
        <v>201</v>
      </c>
      <c r="E43" s="391" t="s">
        <v>184</v>
      </c>
      <c r="F43" s="391">
        <v>27129360</v>
      </c>
      <c r="G43" s="391" t="s">
        <v>213</v>
      </c>
      <c r="H43" s="391">
        <v>1230</v>
      </c>
      <c r="I43" s="312">
        <v>42631</v>
      </c>
      <c r="J43" s="391">
        <v>20</v>
      </c>
      <c r="K43" s="391">
        <v>25000</v>
      </c>
      <c r="L43" s="330">
        <v>10000</v>
      </c>
      <c r="M43" s="391">
        <v>2.7E-2</v>
      </c>
      <c r="N43" s="331">
        <f t="shared" si="1"/>
        <v>20.000026999999999</v>
      </c>
      <c r="O43" s="391">
        <v>2.5000000000000001E-2</v>
      </c>
      <c r="P43" s="316">
        <f t="shared" si="2"/>
        <v>0.89076687525312348</v>
      </c>
      <c r="Q43" s="391" t="str">
        <f t="shared" si="3"/>
        <v>M-001</v>
      </c>
      <c r="R43" s="332" t="s">
        <v>331</v>
      </c>
      <c r="AS43" s="291"/>
    </row>
    <row r="44" spans="2:45" ht="30" customHeight="1" x14ac:dyDescent="0.2">
      <c r="B44" s="654"/>
      <c r="C44" s="310" t="s">
        <v>214</v>
      </c>
      <c r="D44" s="391" t="s">
        <v>201</v>
      </c>
      <c r="E44" s="391" t="s">
        <v>184</v>
      </c>
      <c r="F44" s="391">
        <v>27129360</v>
      </c>
      <c r="G44" s="391" t="s">
        <v>215</v>
      </c>
      <c r="H44" s="391">
        <v>1230</v>
      </c>
      <c r="I44" s="312">
        <v>42631</v>
      </c>
      <c r="J44" s="391">
        <v>20</v>
      </c>
      <c r="K44" s="391">
        <v>30000</v>
      </c>
      <c r="L44" s="330">
        <v>12000</v>
      </c>
      <c r="M44" s="391">
        <v>7.0000000000000001E-3</v>
      </c>
      <c r="N44" s="331">
        <f t="shared" si="1"/>
        <v>20.000007</v>
      </c>
      <c r="O44" s="391">
        <v>2.5000000000000001E-2</v>
      </c>
      <c r="P44" s="316">
        <f t="shared" si="2"/>
        <v>0.89076687525312348</v>
      </c>
      <c r="Q44" s="391" t="str">
        <f t="shared" si="3"/>
        <v>M-001</v>
      </c>
      <c r="R44" s="332" t="s">
        <v>331</v>
      </c>
      <c r="AS44" s="291"/>
    </row>
    <row r="45" spans="2:45" ht="30" customHeight="1" x14ac:dyDescent="0.2">
      <c r="B45" s="654"/>
      <c r="C45" s="310" t="s">
        <v>216</v>
      </c>
      <c r="D45" s="391" t="s">
        <v>201</v>
      </c>
      <c r="E45" s="391" t="s">
        <v>184</v>
      </c>
      <c r="F45" s="391">
        <v>27129360</v>
      </c>
      <c r="G45" s="391" t="s">
        <v>217</v>
      </c>
      <c r="H45" s="391">
        <v>1230</v>
      </c>
      <c r="I45" s="312">
        <v>42631</v>
      </c>
      <c r="J45" s="391">
        <v>50</v>
      </c>
      <c r="K45" s="391">
        <v>40000</v>
      </c>
      <c r="L45" s="330">
        <v>15000</v>
      </c>
      <c r="M45" s="391">
        <v>0.03</v>
      </c>
      <c r="N45" s="313">
        <f t="shared" si="1"/>
        <v>50.000030000000002</v>
      </c>
      <c r="O45" s="391">
        <v>0.03</v>
      </c>
      <c r="P45" s="316">
        <f t="shared" si="2"/>
        <v>0.89076687525312348</v>
      </c>
      <c r="Q45" s="391" t="str">
        <f t="shared" si="3"/>
        <v>M-001</v>
      </c>
      <c r="R45" s="332" t="s">
        <v>331</v>
      </c>
      <c r="AS45" s="291"/>
    </row>
    <row r="46" spans="2:45" ht="30" customHeight="1" x14ac:dyDescent="0.2">
      <c r="B46" s="654"/>
      <c r="C46" s="310" t="s">
        <v>218</v>
      </c>
      <c r="D46" s="391" t="s">
        <v>201</v>
      </c>
      <c r="E46" s="391" t="s">
        <v>184</v>
      </c>
      <c r="F46" s="391">
        <v>27129360</v>
      </c>
      <c r="G46" s="391" t="s">
        <v>219</v>
      </c>
      <c r="H46" s="391">
        <v>1230</v>
      </c>
      <c r="I46" s="312">
        <v>42631</v>
      </c>
      <c r="J46" s="391">
        <v>100</v>
      </c>
      <c r="K46" s="464"/>
      <c r="L46" s="271">
        <v>20000</v>
      </c>
      <c r="M46" s="391">
        <v>0.06</v>
      </c>
      <c r="N46" s="313">
        <f t="shared" si="1"/>
        <v>100.00006</v>
      </c>
      <c r="O46" s="391">
        <v>0.05</v>
      </c>
      <c r="P46" s="316">
        <f t="shared" si="2"/>
        <v>0.89076687525312348</v>
      </c>
      <c r="Q46" s="391" t="str">
        <f t="shared" si="3"/>
        <v>M-001</v>
      </c>
      <c r="R46" s="332" t="s">
        <v>331</v>
      </c>
      <c r="AS46" s="291"/>
    </row>
    <row r="47" spans="2:45" ht="30" customHeight="1" x14ac:dyDescent="0.2">
      <c r="B47" s="654"/>
      <c r="C47" s="310" t="s">
        <v>220</v>
      </c>
      <c r="D47" s="391" t="s">
        <v>201</v>
      </c>
      <c r="E47" s="391" t="s">
        <v>184</v>
      </c>
      <c r="F47" s="391">
        <v>27129360</v>
      </c>
      <c r="G47" s="391" t="s">
        <v>221</v>
      </c>
      <c r="H47" s="391">
        <v>1230</v>
      </c>
      <c r="I47" s="312">
        <v>42631</v>
      </c>
      <c r="J47" s="391">
        <v>200</v>
      </c>
      <c r="K47" s="464"/>
      <c r="L47" s="271">
        <v>25000</v>
      </c>
      <c r="M47" s="391">
        <v>-0.06</v>
      </c>
      <c r="N47" s="313">
        <f t="shared" si="1"/>
        <v>199.99994000000001</v>
      </c>
      <c r="O47" s="314">
        <v>0.1</v>
      </c>
      <c r="P47" s="316">
        <f t="shared" si="2"/>
        <v>0.89076687525312348</v>
      </c>
      <c r="Q47" s="391" t="str">
        <f t="shared" si="3"/>
        <v>M-001</v>
      </c>
      <c r="R47" s="332" t="s">
        <v>331</v>
      </c>
      <c r="AS47" s="291"/>
    </row>
    <row r="48" spans="2:45" ht="30" customHeight="1" x14ac:dyDescent="0.2">
      <c r="B48" s="654"/>
      <c r="C48" s="310" t="s">
        <v>222</v>
      </c>
      <c r="D48" s="391" t="s">
        <v>201</v>
      </c>
      <c r="E48" s="391" t="s">
        <v>184</v>
      </c>
      <c r="F48" s="391">
        <v>27129360</v>
      </c>
      <c r="G48" s="391" t="s">
        <v>223</v>
      </c>
      <c r="H48" s="391">
        <v>1230</v>
      </c>
      <c r="I48" s="312">
        <v>42631</v>
      </c>
      <c r="J48" s="391">
        <v>200</v>
      </c>
      <c r="K48" s="464"/>
      <c r="L48" s="271">
        <v>30000</v>
      </c>
      <c r="M48" s="391">
        <v>0.16</v>
      </c>
      <c r="N48" s="313">
        <f t="shared" si="1"/>
        <v>200.00015999999999</v>
      </c>
      <c r="O48" s="314">
        <v>0.1</v>
      </c>
      <c r="P48" s="316">
        <f t="shared" si="2"/>
        <v>0.89076687525312348</v>
      </c>
      <c r="Q48" s="391" t="str">
        <f t="shared" si="3"/>
        <v>M-001</v>
      </c>
      <c r="R48" s="332" t="s">
        <v>331</v>
      </c>
      <c r="AS48" s="291"/>
    </row>
    <row r="49" spans="2:48" ht="30" customHeight="1" x14ac:dyDescent="0.2">
      <c r="B49" s="654"/>
      <c r="C49" s="310" t="s">
        <v>224</v>
      </c>
      <c r="D49" s="391" t="s">
        <v>201</v>
      </c>
      <c r="E49" s="391" t="s">
        <v>184</v>
      </c>
      <c r="F49" s="391">
        <v>27129360</v>
      </c>
      <c r="G49" s="391" t="s">
        <v>225</v>
      </c>
      <c r="H49" s="391">
        <v>1230</v>
      </c>
      <c r="I49" s="312">
        <v>42631</v>
      </c>
      <c r="J49" s="391">
        <v>500</v>
      </c>
      <c r="K49" s="464"/>
      <c r="L49" s="271">
        <v>35000</v>
      </c>
      <c r="M49" s="391">
        <v>0.35</v>
      </c>
      <c r="N49" s="313">
        <f t="shared" si="1"/>
        <v>500.00035000000003</v>
      </c>
      <c r="O49" s="391">
        <v>0.25</v>
      </c>
      <c r="P49" s="316">
        <f t="shared" si="2"/>
        <v>0.89076687525312348</v>
      </c>
      <c r="Q49" s="391" t="str">
        <f t="shared" si="3"/>
        <v>M-001</v>
      </c>
      <c r="R49" s="332" t="s">
        <v>331</v>
      </c>
      <c r="AS49" s="291"/>
    </row>
    <row r="50" spans="2:48" ht="30" customHeight="1" x14ac:dyDescent="0.2">
      <c r="B50" s="654"/>
      <c r="C50" s="310" t="s">
        <v>226</v>
      </c>
      <c r="D50" s="391" t="s">
        <v>201</v>
      </c>
      <c r="E50" s="391" t="s">
        <v>184</v>
      </c>
      <c r="F50" s="391">
        <v>27129360</v>
      </c>
      <c r="G50" s="391" t="s">
        <v>227</v>
      </c>
      <c r="H50" s="391">
        <v>1230</v>
      </c>
      <c r="I50" s="312">
        <v>42631</v>
      </c>
      <c r="J50" s="391">
        <v>1000</v>
      </c>
      <c r="K50" s="464"/>
      <c r="L50" s="271">
        <v>40000</v>
      </c>
      <c r="M50" s="391">
        <v>0.7</v>
      </c>
      <c r="N50" s="316">
        <f t="shared" si="1"/>
        <v>1000.0007000000001</v>
      </c>
      <c r="O50" s="391">
        <v>0.5</v>
      </c>
      <c r="P50" s="316">
        <f t="shared" si="2"/>
        <v>0.89076687525312348</v>
      </c>
      <c r="Q50" s="391" t="str">
        <f t="shared" si="3"/>
        <v>M-001</v>
      </c>
      <c r="R50" s="332" t="s">
        <v>331</v>
      </c>
      <c r="AS50" s="291"/>
    </row>
    <row r="51" spans="2:48" ht="30" customHeight="1" x14ac:dyDescent="0.2">
      <c r="B51" s="654"/>
      <c r="C51" s="310" t="s">
        <v>228</v>
      </c>
      <c r="D51" s="391" t="s">
        <v>201</v>
      </c>
      <c r="E51" s="391" t="s">
        <v>184</v>
      </c>
      <c r="F51" s="391">
        <v>27129360</v>
      </c>
      <c r="G51" s="391" t="s">
        <v>229</v>
      </c>
      <c r="H51" s="391">
        <v>1230</v>
      </c>
      <c r="I51" s="312">
        <v>42631</v>
      </c>
      <c r="J51" s="391">
        <v>2000</v>
      </c>
      <c r="K51" s="464"/>
      <c r="L51" s="271">
        <v>45000</v>
      </c>
      <c r="M51" s="391">
        <v>1.2</v>
      </c>
      <c r="N51" s="316">
        <f t="shared" si="1"/>
        <v>2000.0011999999999</v>
      </c>
      <c r="O51" s="317">
        <v>1</v>
      </c>
      <c r="P51" s="316">
        <f t="shared" si="2"/>
        <v>0.89076687525312348</v>
      </c>
      <c r="Q51" s="391" t="str">
        <f t="shared" si="3"/>
        <v>M-001</v>
      </c>
      <c r="R51" s="332" t="s">
        <v>331</v>
      </c>
      <c r="AS51" s="291"/>
    </row>
    <row r="52" spans="2:48" ht="30" customHeight="1" x14ac:dyDescent="0.2">
      <c r="B52" s="654"/>
      <c r="C52" s="310" t="s">
        <v>230</v>
      </c>
      <c r="D52" s="391" t="s">
        <v>201</v>
      </c>
      <c r="E52" s="391" t="s">
        <v>184</v>
      </c>
      <c r="F52" s="391">
        <v>27129360</v>
      </c>
      <c r="G52" s="391" t="s">
        <v>231</v>
      </c>
      <c r="H52" s="391">
        <v>1230</v>
      </c>
      <c r="I52" s="312">
        <v>42631</v>
      </c>
      <c r="J52" s="391">
        <v>2000</v>
      </c>
      <c r="K52" s="271"/>
      <c r="L52" s="271">
        <v>50000</v>
      </c>
      <c r="M52" s="391">
        <v>1.1000000000000001</v>
      </c>
      <c r="N52" s="316">
        <f t="shared" si="1"/>
        <v>2000.0011</v>
      </c>
      <c r="O52" s="317">
        <v>1</v>
      </c>
      <c r="P52" s="316">
        <f t="shared" si="2"/>
        <v>0.89076687525312348</v>
      </c>
      <c r="Q52" s="391" t="str">
        <f t="shared" si="3"/>
        <v>M-001</v>
      </c>
      <c r="R52" s="332" t="s">
        <v>331</v>
      </c>
      <c r="AS52" s="291"/>
    </row>
    <row r="53" spans="2:48" ht="30" customHeight="1" x14ac:dyDescent="0.2">
      <c r="B53" s="654"/>
      <c r="C53" s="310" t="s">
        <v>232</v>
      </c>
      <c r="D53" s="391" t="s">
        <v>201</v>
      </c>
      <c r="E53" s="391" t="s">
        <v>184</v>
      </c>
      <c r="F53" s="391">
        <v>27129360</v>
      </c>
      <c r="G53" s="391" t="s">
        <v>233</v>
      </c>
      <c r="H53" s="391">
        <v>1230</v>
      </c>
      <c r="I53" s="312">
        <v>42631</v>
      </c>
      <c r="J53" s="391">
        <v>5000</v>
      </c>
      <c r="K53" s="271"/>
      <c r="L53" s="464"/>
      <c r="M53" s="391">
        <v>3.7</v>
      </c>
      <c r="N53" s="316">
        <f t="shared" si="1"/>
        <v>5000.0037000000002</v>
      </c>
      <c r="O53" s="391">
        <v>2.5</v>
      </c>
      <c r="P53" s="316">
        <f t="shared" si="2"/>
        <v>0.89076687525312348</v>
      </c>
      <c r="Q53" s="391" t="str">
        <f t="shared" si="3"/>
        <v>M-001</v>
      </c>
      <c r="R53" s="332" t="s">
        <v>331</v>
      </c>
      <c r="AS53" s="291"/>
    </row>
    <row r="54" spans="2:48" ht="30" customHeight="1" thickBot="1" x14ac:dyDescent="0.25">
      <c r="B54" s="655"/>
      <c r="C54" s="334" t="s">
        <v>234</v>
      </c>
      <c r="D54" s="392" t="s">
        <v>201</v>
      </c>
      <c r="E54" s="392" t="s">
        <v>184</v>
      </c>
      <c r="F54" s="392">
        <v>27129360</v>
      </c>
      <c r="G54" s="392" t="s">
        <v>235</v>
      </c>
      <c r="H54" s="392">
        <v>1230</v>
      </c>
      <c r="I54" s="336">
        <v>42631</v>
      </c>
      <c r="J54" s="392">
        <v>10000</v>
      </c>
      <c r="K54" s="272"/>
      <c r="L54" s="466"/>
      <c r="M54" s="392">
        <v>8.6999999999999993</v>
      </c>
      <c r="N54" s="337">
        <f t="shared" si="1"/>
        <v>10000.0087</v>
      </c>
      <c r="O54" s="338">
        <v>5</v>
      </c>
      <c r="P54" s="337">
        <f t="shared" si="2"/>
        <v>0.89076687525312348</v>
      </c>
      <c r="Q54" s="392" t="str">
        <f t="shared" si="3"/>
        <v>M-001</v>
      </c>
      <c r="R54" s="339" t="s">
        <v>331</v>
      </c>
      <c r="AS54" s="291"/>
    </row>
    <row r="55" spans="2:48" ht="30" customHeight="1" x14ac:dyDescent="0.2">
      <c r="B55" s="651" t="s">
        <v>333</v>
      </c>
      <c r="C55" s="304" t="s">
        <v>236</v>
      </c>
      <c r="D55" s="305" t="s">
        <v>237</v>
      </c>
      <c r="E55" s="305" t="s">
        <v>336</v>
      </c>
      <c r="F55" s="305">
        <v>11119515</v>
      </c>
      <c r="G55" s="305">
        <v>1</v>
      </c>
      <c r="H55" s="305">
        <v>100405</v>
      </c>
      <c r="I55" s="306">
        <v>42615</v>
      </c>
      <c r="J55" s="305">
        <v>1</v>
      </c>
      <c r="K55" s="276"/>
      <c r="L55" s="465"/>
      <c r="M55" s="305">
        <v>0.04</v>
      </c>
      <c r="N55" s="340">
        <f t="shared" si="1"/>
        <v>1.00004</v>
      </c>
      <c r="O55" s="305">
        <v>0.03</v>
      </c>
      <c r="P55" s="341">
        <f>(0.34848*((750.3+756.2)/2)-0.009024*((43.6+60.2)/2)*EXP(0.0612*((19.1+21.1)/2)))/(273.15+((19.1+21.1)/2))</f>
        <v>0.88965063908070108</v>
      </c>
      <c r="Q55" s="305" t="s">
        <v>238</v>
      </c>
      <c r="R55" s="309" t="s">
        <v>331</v>
      </c>
      <c r="AS55" s="291"/>
      <c r="AT55" s="288"/>
      <c r="AU55" s="288"/>
    </row>
    <row r="56" spans="2:48" ht="30" customHeight="1" x14ac:dyDescent="0.2">
      <c r="B56" s="651"/>
      <c r="C56" s="310" t="s">
        <v>239</v>
      </c>
      <c r="D56" s="311" t="s">
        <v>237</v>
      </c>
      <c r="E56" s="311" t="s">
        <v>336</v>
      </c>
      <c r="F56" s="311">
        <v>11119515</v>
      </c>
      <c r="G56" s="311" t="s">
        <v>241</v>
      </c>
      <c r="H56" s="311">
        <v>100405</v>
      </c>
      <c r="I56" s="312">
        <f>I55</f>
        <v>42615</v>
      </c>
      <c r="J56" s="391">
        <v>2</v>
      </c>
      <c r="K56" s="271"/>
      <c r="L56" s="464"/>
      <c r="M56" s="391">
        <v>0.06</v>
      </c>
      <c r="N56" s="313">
        <f t="shared" si="1"/>
        <v>2.0000599999999999</v>
      </c>
      <c r="O56" s="311">
        <v>0.04</v>
      </c>
      <c r="P56" s="341">
        <f t="shared" ref="P56:P70" si="4">(0.34848*((750.3+756.2)/2)-0.009024*((43.6+60.2)/2)*EXP(0.0612*((19.1+21.1)/2)))/(273.15+((19.1+21.1)/2))</f>
        <v>0.88965063908070108</v>
      </c>
      <c r="Q56" s="311" t="str">
        <f t="shared" ref="Q56:Q70" si="5">Q55</f>
        <v>M-002</v>
      </c>
      <c r="R56" s="309" t="s">
        <v>331</v>
      </c>
      <c r="AS56" s="291"/>
      <c r="AT56" s="288"/>
      <c r="AU56" s="288"/>
    </row>
    <row r="57" spans="2:48" ht="30" customHeight="1" x14ac:dyDescent="0.2">
      <c r="B57" s="651"/>
      <c r="C57" s="310" t="s">
        <v>240</v>
      </c>
      <c r="D57" s="311" t="s">
        <v>237</v>
      </c>
      <c r="E57" s="311" t="s">
        <v>336</v>
      </c>
      <c r="F57" s="311">
        <v>11119515</v>
      </c>
      <c r="G57" s="311">
        <v>2</v>
      </c>
      <c r="H57" s="311">
        <v>100405</v>
      </c>
      <c r="I57" s="312">
        <f t="shared" ref="I57:I70" si="6">I56</f>
        <v>42615</v>
      </c>
      <c r="J57" s="391">
        <v>2</v>
      </c>
      <c r="K57" s="271"/>
      <c r="L57" s="464"/>
      <c r="M57" s="391">
        <v>0.04</v>
      </c>
      <c r="N57" s="313">
        <f t="shared" si="1"/>
        <v>2.0000399999999998</v>
      </c>
      <c r="O57" s="311">
        <v>0.04</v>
      </c>
      <c r="P57" s="341">
        <f t="shared" si="4"/>
        <v>0.88965063908070108</v>
      </c>
      <c r="Q57" s="311" t="str">
        <f t="shared" si="5"/>
        <v>M-002</v>
      </c>
      <c r="R57" s="309" t="s">
        <v>331</v>
      </c>
      <c r="AS57" s="291"/>
      <c r="AT57" s="288"/>
      <c r="AU57" s="288"/>
    </row>
    <row r="58" spans="2:48" ht="30" customHeight="1" x14ac:dyDescent="0.2">
      <c r="B58" s="651"/>
      <c r="C58" s="310" t="s">
        <v>242</v>
      </c>
      <c r="D58" s="311" t="s">
        <v>237</v>
      </c>
      <c r="E58" s="311" t="s">
        <v>336</v>
      </c>
      <c r="F58" s="311">
        <v>11119515</v>
      </c>
      <c r="G58" s="311">
        <v>5</v>
      </c>
      <c r="H58" s="311">
        <v>100405</v>
      </c>
      <c r="I58" s="312">
        <f t="shared" si="6"/>
        <v>42615</v>
      </c>
      <c r="J58" s="391">
        <v>5</v>
      </c>
      <c r="K58" s="271"/>
      <c r="L58" s="464"/>
      <c r="M58" s="314">
        <v>0</v>
      </c>
      <c r="N58" s="313">
        <f t="shared" si="1"/>
        <v>5</v>
      </c>
      <c r="O58" s="311">
        <v>0.05</v>
      </c>
      <c r="P58" s="341">
        <f t="shared" si="4"/>
        <v>0.88965063908070108</v>
      </c>
      <c r="Q58" s="311" t="str">
        <f t="shared" si="5"/>
        <v>M-002</v>
      </c>
      <c r="R58" s="309" t="s">
        <v>331</v>
      </c>
      <c r="AS58" s="291"/>
      <c r="AT58" s="288"/>
      <c r="AU58" s="288"/>
    </row>
    <row r="59" spans="2:48" ht="30" customHeight="1" x14ac:dyDescent="0.2">
      <c r="B59" s="651"/>
      <c r="C59" s="310" t="s">
        <v>244</v>
      </c>
      <c r="D59" s="311" t="s">
        <v>237</v>
      </c>
      <c r="E59" s="311" t="s">
        <v>336</v>
      </c>
      <c r="F59" s="311">
        <v>11119515</v>
      </c>
      <c r="G59" s="311">
        <v>10</v>
      </c>
      <c r="H59" s="311">
        <v>100405</v>
      </c>
      <c r="I59" s="312">
        <f t="shared" si="6"/>
        <v>42615</v>
      </c>
      <c r="J59" s="391">
        <v>10</v>
      </c>
      <c r="K59" s="271"/>
      <c r="L59" s="464"/>
      <c r="M59" s="391">
        <v>0.05</v>
      </c>
      <c r="N59" s="313">
        <f t="shared" si="1"/>
        <v>10.00005</v>
      </c>
      <c r="O59" s="311">
        <v>0.06</v>
      </c>
      <c r="P59" s="341">
        <f t="shared" si="4"/>
        <v>0.88965063908070108</v>
      </c>
      <c r="Q59" s="311" t="str">
        <f t="shared" si="5"/>
        <v>M-002</v>
      </c>
      <c r="R59" s="309" t="s">
        <v>331</v>
      </c>
      <c r="AS59" s="291"/>
      <c r="AT59" s="288"/>
      <c r="AU59" s="288"/>
    </row>
    <row r="60" spans="2:48" ht="30" customHeight="1" x14ac:dyDescent="0.2">
      <c r="B60" s="651"/>
      <c r="C60" s="310" t="s">
        <v>246</v>
      </c>
      <c r="D60" s="311" t="s">
        <v>237</v>
      </c>
      <c r="E60" s="311" t="s">
        <v>336</v>
      </c>
      <c r="F60" s="311">
        <v>11119515</v>
      </c>
      <c r="G60" s="311" t="s">
        <v>248</v>
      </c>
      <c r="H60" s="311">
        <v>100405</v>
      </c>
      <c r="I60" s="312">
        <f t="shared" si="6"/>
        <v>42615</v>
      </c>
      <c r="J60" s="391">
        <v>20</v>
      </c>
      <c r="K60" s="271"/>
      <c r="L60" s="464"/>
      <c r="M60" s="391">
        <v>7.0000000000000007E-2</v>
      </c>
      <c r="N60" s="313">
        <f t="shared" si="1"/>
        <v>20.000070000000001</v>
      </c>
      <c r="O60" s="311">
        <v>0.08</v>
      </c>
      <c r="P60" s="341">
        <f t="shared" si="4"/>
        <v>0.88965063908070108</v>
      </c>
      <c r="Q60" s="311" t="str">
        <f t="shared" si="5"/>
        <v>M-002</v>
      </c>
      <c r="R60" s="309" t="s">
        <v>331</v>
      </c>
      <c r="AS60" s="291"/>
      <c r="AT60" s="288"/>
      <c r="AU60" s="288"/>
    </row>
    <row r="61" spans="2:48" ht="30" customHeight="1" x14ac:dyDescent="0.2">
      <c r="B61" s="651"/>
      <c r="C61" s="310" t="s">
        <v>247</v>
      </c>
      <c r="D61" s="311" t="s">
        <v>237</v>
      </c>
      <c r="E61" s="311" t="s">
        <v>336</v>
      </c>
      <c r="F61" s="311">
        <v>11119515</v>
      </c>
      <c r="G61" s="311">
        <v>20</v>
      </c>
      <c r="H61" s="311">
        <v>100405</v>
      </c>
      <c r="I61" s="312">
        <f t="shared" si="6"/>
        <v>42615</v>
      </c>
      <c r="J61" s="391">
        <v>20</v>
      </c>
      <c r="K61" s="271"/>
      <c r="L61" s="464"/>
      <c r="M61" s="391">
        <v>0.08</v>
      </c>
      <c r="N61" s="313">
        <f t="shared" si="1"/>
        <v>20.000080000000001</v>
      </c>
      <c r="O61" s="311">
        <v>0.08</v>
      </c>
      <c r="P61" s="341">
        <f t="shared" si="4"/>
        <v>0.88965063908070108</v>
      </c>
      <c r="Q61" s="311" t="str">
        <f t="shared" si="5"/>
        <v>M-002</v>
      </c>
      <c r="R61" s="309" t="s">
        <v>331</v>
      </c>
      <c r="AS61" s="291"/>
      <c r="AT61" s="288"/>
      <c r="AU61" s="288"/>
    </row>
    <row r="62" spans="2:48" ht="30" customHeight="1" x14ac:dyDescent="0.2">
      <c r="B62" s="651"/>
      <c r="C62" s="310" t="s">
        <v>249</v>
      </c>
      <c r="D62" s="311" t="s">
        <v>237</v>
      </c>
      <c r="E62" s="311" t="s">
        <v>336</v>
      </c>
      <c r="F62" s="311">
        <v>11119515</v>
      </c>
      <c r="G62" s="311">
        <v>50</v>
      </c>
      <c r="H62" s="311">
        <v>100405</v>
      </c>
      <c r="I62" s="312">
        <f t="shared" si="6"/>
        <v>42615</v>
      </c>
      <c r="J62" s="391">
        <v>50</v>
      </c>
      <c r="K62" s="271"/>
      <c r="L62" s="464"/>
      <c r="M62" s="391">
        <v>0.19</v>
      </c>
      <c r="N62" s="313">
        <f t="shared" si="1"/>
        <v>50.000190000000003</v>
      </c>
      <c r="O62" s="314">
        <v>0.1</v>
      </c>
      <c r="P62" s="341">
        <f t="shared" si="4"/>
        <v>0.88965063908070108</v>
      </c>
      <c r="Q62" s="311" t="str">
        <f t="shared" si="5"/>
        <v>M-002</v>
      </c>
      <c r="R62" s="309" t="s">
        <v>331</v>
      </c>
      <c r="AS62" s="291"/>
      <c r="AT62" s="288"/>
      <c r="AU62" s="288"/>
    </row>
    <row r="63" spans="2:48" ht="30" customHeight="1" x14ac:dyDescent="0.2">
      <c r="B63" s="651"/>
      <c r="C63" s="310" t="s">
        <v>250</v>
      </c>
      <c r="D63" s="311" t="s">
        <v>237</v>
      </c>
      <c r="E63" s="311" t="s">
        <v>336</v>
      </c>
      <c r="F63" s="311">
        <v>11119515</v>
      </c>
      <c r="G63" s="311">
        <v>100</v>
      </c>
      <c r="H63" s="311">
        <v>100405</v>
      </c>
      <c r="I63" s="312">
        <f t="shared" si="6"/>
        <v>42615</v>
      </c>
      <c r="J63" s="391">
        <v>100</v>
      </c>
      <c r="K63" s="271"/>
      <c r="L63" s="464"/>
      <c r="M63" s="391">
        <v>0.13</v>
      </c>
      <c r="N63" s="313">
        <f t="shared" si="1"/>
        <v>100.00013</v>
      </c>
      <c r="O63" s="311">
        <v>0.16</v>
      </c>
      <c r="P63" s="341">
        <f t="shared" si="4"/>
        <v>0.88965063908070108</v>
      </c>
      <c r="Q63" s="311" t="str">
        <f t="shared" si="5"/>
        <v>M-002</v>
      </c>
      <c r="R63" s="309" t="s">
        <v>331</v>
      </c>
      <c r="AT63" s="291"/>
      <c r="AU63" s="288"/>
      <c r="AV63" s="288"/>
    </row>
    <row r="64" spans="2:48" ht="30" customHeight="1" x14ac:dyDescent="0.2">
      <c r="B64" s="651"/>
      <c r="C64" s="310" t="s">
        <v>252</v>
      </c>
      <c r="D64" s="311" t="s">
        <v>237</v>
      </c>
      <c r="E64" s="311" t="s">
        <v>336</v>
      </c>
      <c r="F64" s="311">
        <v>11119515</v>
      </c>
      <c r="G64" s="311" t="s">
        <v>254</v>
      </c>
      <c r="H64" s="311">
        <v>100405</v>
      </c>
      <c r="I64" s="312">
        <f t="shared" si="6"/>
        <v>42615</v>
      </c>
      <c r="J64" s="391">
        <v>200</v>
      </c>
      <c r="K64" s="271"/>
      <c r="L64" s="464"/>
      <c r="M64" s="391">
        <v>0.2</v>
      </c>
      <c r="N64" s="316">
        <f t="shared" si="1"/>
        <v>200.00020000000001</v>
      </c>
      <c r="O64" s="311">
        <v>0.3</v>
      </c>
      <c r="P64" s="341">
        <f t="shared" si="4"/>
        <v>0.88965063908070108</v>
      </c>
      <c r="Q64" s="311" t="str">
        <f t="shared" si="5"/>
        <v>M-002</v>
      </c>
      <c r="R64" s="309" t="s">
        <v>331</v>
      </c>
      <c r="AT64" s="291"/>
      <c r="AU64" s="288"/>
      <c r="AV64" s="288"/>
    </row>
    <row r="65" spans="2:50" ht="30" customHeight="1" x14ac:dyDescent="0.2">
      <c r="B65" s="651"/>
      <c r="C65" s="310" t="s">
        <v>253</v>
      </c>
      <c r="D65" s="311" t="s">
        <v>237</v>
      </c>
      <c r="E65" s="311" t="s">
        <v>336</v>
      </c>
      <c r="F65" s="311">
        <v>11119515</v>
      </c>
      <c r="G65" s="311">
        <v>200</v>
      </c>
      <c r="H65" s="311">
        <v>100405</v>
      </c>
      <c r="I65" s="312">
        <f t="shared" si="6"/>
        <v>42615</v>
      </c>
      <c r="J65" s="391">
        <v>200</v>
      </c>
      <c r="K65" s="271"/>
      <c r="L65" s="464"/>
      <c r="M65" s="391">
        <v>0.3</v>
      </c>
      <c r="N65" s="316">
        <f t="shared" si="1"/>
        <v>200.00030000000001</v>
      </c>
      <c r="O65" s="311">
        <v>0.3</v>
      </c>
      <c r="P65" s="341">
        <f t="shared" si="4"/>
        <v>0.88965063908070108</v>
      </c>
      <c r="Q65" s="311" t="str">
        <f t="shared" si="5"/>
        <v>M-002</v>
      </c>
      <c r="R65" s="309" t="s">
        <v>331</v>
      </c>
      <c r="AT65" s="291"/>
      <c r="AU65" s="288"/>
      <c r="AV65" s="288"/>
    </row>
    <row r="66" spans="2:50" ht="30" customHeight="1" x14ac:dyDescent="0.2">
      <c r="B66" s="651"/>
      <c r="C66" s="310" t="s">
        <v>255</v>
      </c>
      <c r="D66" s="311" t="s">
        <v>237</v>
      </c>
      <c r="E66" s="311" t="s">
        <v>336</v>
      </c>
      <c r="F66" s="311">
        <v>11119515</v>
      </c>
      <c r="G66" s="311">
        <v>500</v>
      </c>
      <c r="H66" s="311">
        <v>100405</v>
      </c>
      <c r="I66" s="312">
        <f t="shared" si="6"/>
        <v>42615</v>
      </c>
      <c r="J66" s="391">
        <v>500</v>
      </c>
      <c r="K66" s="271"/>
      <c r="L66" s="464"/>
      <c r="M66" s="391">
        <v>0.8</v>
      </c>
      <c r="N66" s="316">
        <f t="shared" si="1"/>
        <v>500.00080000000003</v>
      </c>
      <c r="O66" s="311">
        <v>0.8</v>
      </c>
      <c r="P66" s="341">
        <f t="shared" si="4"/>
        <v>0.88965063908070108</v>
      </c>
      <c r="Q66" s="311" t="str">
        <f t="shared" si="5"/>
        <v>M-002</v>
      </c>
      <c r="R66" s="309" t="s">
        <v>331</v>
      </c>
      <c r="AI66" s="342"/>
      <c r="AJ66" s="342"/>
      <c r="AK66" s="342"/>
      <c r="AQ66" s="343"/>
      <c r="AR66" s="343"/>
      <c r="AS66" s="291"/>
      <c r="AT66" s="291"/>
      <c r="AU66" s="288"/>
      <c r="AV66" s="288"/>
    </row>
    <row r="67" spans="2:50" ht="30" customHeight="1" x14ac:dyDescent="0.2">
      <c r="B67" s="651"/>
      <c r="C67" s="310" t="s">
        <v>256</v>
      </c>
      <c r="D67" s="311" t="s">
        <v>237</v>
      </c>
      <c r="E67" s="311" t="s">
        <v>336</v>
      </c>
      <c r="F67" s="311">
        <v>11119515</v>
      </c>
      <c r="G67" s="311">
        <v>1</v>
      </c>
      <c r="H67" s="311">
        <v>100405</v>
      </c>
      <c r="I67" s="312">
        <f t="shared" si="6"/>
        <v>42615</v>
      </c>
      <c r="J67" s="311">
        <v>1000</v>
      </c>
      <c r="K67" s="271"/>
      <c r="L67" s="271"/>
      <c r="M67" s="311">
        <v>1.9</v>
      </c>
      <c r="N67" s="316">
        <f t="shared" si="1"/>
        <v>1000.0019</v>
      </c>
      <c r="O67" s="311">
        <v>1.6</v>
      </c>
      <c r="P67" s="341">
        <f t="shared" si="4"/>
        <v>0.88965063908070108</v>
      </c>
      <c r="Q67" s="311" t="str">
        <f t="shared" si="5"/>
        <v>M-002</v>
      </c>
      <c r="R67" s="309" t="s">
        <v>331</v>
      </c>
      <c r="AI67" s="344"/>
      <c r="AJ67" s="344"/>
      <c r="AK67" s="344"/>
      <c r="AQ67" s="344"/>
      <c r="AR67" s="344"/>
      <c r="AS67" s="344"/>
      <c r="AT67" s="344"/>
      <c r="AU67" s="344"/>
      <c r="AV67" s="344"/>
      <c r="AW67" s="344"/>
      <c r="AX67" s="344"/>
    </row>
    <row r="68" spans="2:50" ht="30" customHeight="1" x14ac:dyDescent="0.2">
      <c r="B68" s="651"/>
      <c r="C68" s="310" t="s">
        <v>257</v>
      </c>
      <c r="D68" s="311" t="s">
        <v>237</v>
      </c>
      <c r="E68" s="311" t="s">
        <v>336</v>
      </c>
      <c r="F68" s="311">
        <v>11119515</v>
      </c>
      <c r="G68" s="311" t="s">
        <v>241</v>
      </c>
      <c r="H68" s="311">
        <v>100405</v>
      </c>
      <c r="I68" s="312">
        <f t="shared" si="6"/>
        <v>42615</v>
      </c>
      <c r="J68" s="311">
        <v>2000</v>
      </c>
      <c r="K68" s="271"/>
      <c r="L68" s="271"/>
      <c r="M68" s="317">
        <v>2.2000000000000002</v>
      </c>
      <c r="N68" s="316">
        <f t="shared" si="1"/>
        <v>2000.0021999999999</v>
      </c>
      <c r="O68" s="317">
        <v>3</v>
      </c>
      <c r="P68" s="341">
        <f t="shared" si="4"/>
        <v>0.88965063908070108</v>
      </c>
      <c r="Q68" s="311" t="str">
        <f t="shared" si="5"/>
        <v>M-002</v>
      </c>
      <c r="R68" s="309" t="s">
        <v>331</v>
      </c>
      <c r="AE68" s="344"/>
      <c r="AF68" s="344"/>
      <c r="AG68" s="344"/>
      <c r="AH68" s="344"/>
      <c r="AI68" s="344"/>
      <c r="AJ68" s="344"/>
      <c r="AK68" s="344"/>
      <c r="AQ68" s="344"/>
      <c r="AR68" s="344"/>
      <c r="AS68" s="344"/>
      <c r="AT68" s="344"/>
      <c r="AU68" s="344"/>
      <c r="AV68" s="344"/>
      <c r="AW68" s="344"/>
      <c r="AX68" s="344"/>
    </row>
    <row r="69" spans="2:50" ht="30" customHeight="1" x14ac:dyDescent="0.2">
      <c r="B69" s="651"/>
      <c r="C69" s="310" t="s">
        <v>258</v>
      </c>
      <c r="D69" s="311" t="s">
        <v>237</v>
      </c>
      <c r="E69" s="311" t="s">
        <v>336</v>
      </c>
      <c r="F69" s="311">
        <v>11119515</v>
      </c>
      <c r="G69" s="311">
        <v>2</v>
      </c>
      <c r="H69" s="311">
        <v>100405</v>
      </c>
      <c r="I69" s="312">
        <f t="shared" si="6"/>
        <v>42615</v>
      </c>
      <c r="J69" s="311">
        <v>2000</v>
      </c>
      <c r="K69" s="271"/>
      <c r="L69" s="271"/>
      <c r="M69" s="317">
        <v>2</v>
      </c>
      <c r="N69" s="316">
        <f t="shared" si="1"/>
        <v>2000.002</v>
      </c>
      <c r="O69" s="317">
        <v>3</v>
      </c>
      <c r="P69" s="341">
        <f t="shared" si="4"/>
        <v>0.88965063908070108</v>
      </c>
      <c r="Q69" s="311" t="str">
        <f t="shared" si="5"/>
        <v>M-002</v>
      </c>
      <c r="R69" s="309" t="s">
        <v>331</v>
      </c>
      <c r="S69" s="287"/>
      <c r="T69" s="287"/>
      <c r="U69" s="287"/>
      <c r="V69" s="287"/>
      <c r="W69" s="287"/>
      <c r="X69" s="287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Q69" s="344"/>
      <c r="AR69" s="344"/>
      <c r="AS69" s="344"/>
      <c r="AT69" s="344"/>
      <c r="AU69" s="344"/>
      <c r="AV69" s="344"/>
      <c r="AW69" s="344"/>
      <c r="AX69" s="344"/>
    </row>
    <row r="70" spans="2:50" ht="30" customHeight="1" thickBot="1" x14ac:dyDescent="0.25">
      <c r="B70" s="652"/>
      <c r="C70" s="318" t="s">
        <v>259</v>
      </c>
      <c r="D70" s="319" t="s">
        <v>237</v>
      </c>
      <c r="E70" s="319" t="s">
        <v>336</v>
      </c>
      <c r="F70" s="319">
        <v>11119515</v>
      </c>
      <c r="G70" s="319">
        <v>5</v>
      </c>
      <c r="H70" s="319">
        <v>100405</v>
      </c>
      <c r="I70" s="320">
        <f t="shared" si="6"/>
        <v>42615</v>
      </c>
      <c r="J70" s="319">
        <v>5000</v>
      </c>
      <c r="K70" s="277"/>
      <c r="L70" s="277"/>
      <c r="M70" s="319">
        <v>5.9</v>
      </c>
      <c r="N70" s="345">
        <f t="shared" si="1"/>
        <v>5000.0059000000001</v>
      </c>
      <c r="O70" s="346">
        <v>8</v>
      </c>
      <c r="P70" s="347">
        <f t="shared" si="4"/>
        <v>0.88965063908070108</v>
      </c>
      <c r="Q70" s="319" t="str">
        <f t="shared" si="5"/>
        <v>M-002</v>
      </c>
      <c r="R70" s="348" t="s">
        <v>331</v>
      </c>
      <c r="S70" s="287"/>
      <c r="T70" s="287"/>
      <c r="U70" s="287"/>
      <c r="V70" s="287"/>
      <c r="W70" s="287"/>
      <c r="X70" s="287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Q70" s="344"/>
      <c r="AR70" s="344"/>
      <c r="AS70" s="344"/>
      <c r="AT70" s="344"/>
      <c r="AU70" s="344"/>
      <c r="AV70" s="344"/>
      <c r="AW70" s="344"/>
      <c r="AX70" s="344"/>
    </row>
    <row r="71" spans="2:50" ht="30" customHeight="1" thickBot="1" x14ac:dyDescent="0.25">
      <c r="B71" s="349" t="s">
        <v>335</v>
      </c>
      <c r="C71" s="323" t="s">
        <v>260</v>
      </c>
      <c r="D71" s="324" t="s">
        <v>237</v>
      </c>
      <c r="E71" s="324" t="s">
        <v>336</v>
      </c>
      <c r="F71" s="324">
        <v>11119467</v>
      </c>
      <c r="G71" s="324">
        <v>10</v>
      </c>
      <c r="H71" s="324">
        <v>1257</v>
      </c>
      <c r="I71" s="325">
        <v>42692</v>
      </c>
      <c r="J71" s="324">
        <v>10000</v>
      </c>
      <c r="K71" s="350"/>
      <c r="L71" s="350"/>
      <c r="M71" s="324">
        <v>8</v>
      </c>
      <c r="N71" s="327">
        <f t="shared" si="1"/>
        <v>10000.008</v>
      </c>
      <c r="O71" s="324">
        <v>16</v>
      </c>
      <c r="P71" s="308">
        <f>(0.34848*((750.712+752.294)/2)-0.009024*((52.2+56.3)/2)*EXP(0.0612*((20.3+20.4)/2)))/(273.15+((20.3+20.4)/2))</f>
        <v>0.88648336980110287</v>
      </c>
      <c r="Q71" s="324" t="s">
        <v>261</v>
      </c>
      <c r="R71" s="329" t="s">
        <v>331</v>
      </c>
      <c r="S71" s="287"/>
      <c r="T71" s="287"/>
      <c r="U71" s="287"/>
      <c r="V71" s="287"/>
      <c r="W71" s="287"/>
      <c r="X71" s="287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Q71" s="344"/>
      <c r="AR71" s="344"/>
      <c r="AS71" s="344"/>
      <c r="AT71" s="344"/>
      <c r="AU71" s="344"/>
      <c r="AV71" s="344"/>
      <c r="AW71" s="344"/>
      <c r="AX71" s="344"/>
    </row>
    <row r="72" spans="2:50" ht="30" customHeight="1" thickBot="1" x14ac:dyDescent="0.25">
      <c r="B72" s="349" t="s">
        <v>335</v>
      </c>
      <c r="C72" s="334" t="s">
        <v>262</v>
      </c>
      <c r="D72" s="335" t="s">
        <v>237</v>
      </c>
      <c r="E72" s="335" t="s">
        <v>336</v>
      </c>
      <c r="F72" s="335">
        <v>11119468</v>
      </c>
      <c r="G72" s="335">
        <v>20</v>
      </c>
      <c r="H72" s="335">
        <v>1258</v>
      </c>
      <c r="I72" s="336">
        <v>42695</v>
      </c>
      <c r="J72" s="335">
        <v>20000</v>
      </c>
      <c r="K72" s="272"/>
      <c r="L72" s="272"/>
      <c r="M72" s="335">
        <v>0</v>
      </c>
      <c r="N72" s="351">
        <f t="shared" si="1"/>
        <v>20000</v>
      </c>
      <c r="O72" s="335">
        <v>30</v>
      </c>
      <c r="P72" s="352">
        <f>(0.34848*((751.3+751.5)/2)-0.009024*((54.1+55.5)/2)*EXP(0.0612*((19.7+20.3)/2)))/(273.15+((19.7+20.3)/2))</f>
        <v>0.88748470987269767</v>
      </c>
      <c r="Q72" s="335" t="s">
        <v>263</v>
      </c>
      <c r="R72" s="353" t="s">
        <v>331</v>
      </c>
      <c r="S72" s="287"/>
      <c r="T72" s="287"/>
      <c r="U72" s="287"/>
      <c r="V72" s="287"/>
      <c r="W72" s="287"/>
      <c r="X72" s="287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Q72" s="344"/>
      <c r="AR72" s="344"/>
      <c r="AS72" s="344"/>
      <c r="AT72" s="344"/>
      <c r="AU72" s="344"/>
      <c r="AV72" s="344"/>
      <c r="AW72" s="344"/>
      <c r="AX72" s="344"/>
    </row>
    <row r="73" spans="2:50" ht="30" customHeight="1" x14ac:dyDescent="0.2">
      <c r="B73" s="650" t="s">
        <v>334</v>
      </c>
      <c r="C73" s="304" t="s">
        <v>264</v>
      </c>
      <c r="D73" s="305" t="s">
        <v>237</v>
      </c>
      <c r="E73" s="305" t="s">
        <v>265</v>
      </c>
      <c r="F73" s="305" t="s">
        <v>337</v>
      </c>
      <c r="G73" s="305" t="s">
        <v>267</v>
      </c>
      <c r="H73" s="305" t="s">
        <v>268</v>
      </c>
      <c r="I73" s="306">
        <v>42683</v>
      </c>
      <c r="J73" s="305">
        <v>1</v>
      </c>
      <c r="K73" s="276"/>
      <c r="L73" s="276"/>
      <c r="M73" s="307">
        <v>0.04</v>
      </c>
      <c r="N73" s="340">
        <f t="shared" si="1"/>
        <v>1.00004</v>
      </c>
      <c r="O73" s="305">
        <v>3.3000000000000002E-2</v>
      </c>
      <c r="P73" s="354">
        <v>0.88229999999999997</v>
      </c>
      <c r="Q73" s="305" t="s">
        <v>269</v>
      </c>
      <c r="R73" s="309" t="s">
        <v>330</v>
      </c>
      <c r="S73" s="287"/>
      <c r="T73" s="287"/>
      <c r="U73" s="287"/>
      <c r="V73" s="287"/>
      <c r="W73" s="287"/>
      <c r="X73" s="287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</row>
    <row r="74" spans="2:50" ht="30" customHeight="1" x14ac:dyDescent="0.2">
      <c r="B74" s="651"/>
      <c r="C74" s="310" t="s">
        <v>270</v>
      </c>
      <c r="D74" s="311" t="s">
        <v>237</v>
      </c>
      <c r="E74" s="311" t="s">
        <v>265</v>
      </c>
      <c r="F74" s="305" t="s">
        <v>337</v>
      </c>
      <c r="G74" s="311" t="s">
        <v>267</v>
      </c>
      <c r="H74" s="311" t="s">
        <v>268</v>
      </c>
      <c r="I74" s="306">
        <v>42683</v>
      </c>
      <c r="J74" s="311">
        <v>2</v>
      </c>
      <c r="K74" s="271"/>
      <c r="L74" s="271"/>
      <c r="M74" s="333">
        <v>0.04</v>
      </c>
      <c r="N74" s="313">
        <f t="shared" si="1"/>
        <v>2.0000399999999998</v>
      </c>
      <c r="O74" s="333">
        <v>0.04</v>
      </c>
      <c r="P74" s="355">
        <v>0.88200000000000001</v>
      </c>
      <c r="Q74" s="311" t="str">
        <f>Q73</f>
        <v>M-016</v>
      </c>
      <c r="R74" s="309" t="s">
        <v>330</v>
      </c>
      <c r="S74" s="287"/>
      <c r="T74" s="287"/>
      <c r="U74" s="287"/>
      <c r="V74" s="287"/>
      <c r="W74" s="287"/>
      <c r="X74" s="287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</row>
    <row r="75" spans="2:50" ht="30" customHeight="1" x14ac:dyDescent="0.2">
      <c r="B75" s="651"/>
      <c r="C75" s="310" t="s">
        <v>271</v>
      </c>
      <c r="D75" s="311" t="s">
        <v>237</v>
      </c>
      <c r="E75" s="311" t="s">
        <v>265</v>
      </c>
      <c r="F75" s="305" t="s">
        <v>337</v>
      </c>
      <c r="G75" s="311" t="s">
        <v>272</v>
      </c>
      <c r="H75" s="311" t="s">
        <v>268</v>
      </c>
      <c r="I75" s="306">
        <v>42683</v>
      </c>
      <c r="J75" s="311">
        <v>2</v>
      </c>
      <c r="K75" s="271"/>
      <c r="L75" s="271"/>
      <c r="M75" s="311">
        <v>5.3999999999999999E-2</v>
      </c>
      <c r="N75" s="331">
        <f t="shared" si="1"/>
        <v>2.000054</v>
      </c>
      <c r="O75" s="333">
        <v>0.04</v>
      </c>
      <c r="P75" s="315">
        <v>0.88190000000000002</v>
      </c>
      <c r="Q75" s="311" t="str">
        <f t="shared" ref="Q75:Q88" si="7">Q74</f>
        <v>M-016</v>
      </c>
      <c r="R75" s="309" t="s">
        <v>330</v>
      </c>
      <c r="U75" s="287"/>
      <c r="V75" s="287"/>
      <c r="W75" s="287"/>
      <c r="X75" s="287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</row>
    <row r="76" spans="2:50" ht="30" customHeight="1" x14ac:dyDescent="0.2">
      <c r="B76" s="651"/>
      <c r="C76" s="310" t="s">
        <v>273</v>
      </c>
      <c r="D76" s="311" t="s">
        <v>237</v>
      </c>
      <c r="E76" s="311" t="s">
        <v>265</v>
      </c>
      <c r="F76" s="305" t="s">
        <v>337</v>
      </c>
      <c r="G76" s="311" t="s">
        <v>267</v>
      </c>
      <c r="H76" s="311" t="s">
        <v>268</v>
      </c>
      <c r="I76" s="306">
        <v>42683</v>
      </c>
      <c r="J76" s="311">
        <v>5</v>
      </c>
      <c r="K76" s="271"/>
      <c r="L76" s="271"/>
      <c r="M76" s="311">
        <v>8.7999999999999995E-2</v>
      </c>
      <c r="N76" s="331">
        <f t="shared" si="1"/>
        <v>5.0000879999999999</v>
      </c>
      <c r="O76" s="311">
        <v>5.2999999999999999E-2</v>
      </c>
      <c r="P76" s="355">
        <v>0.88200000000000001</v>
      </c>
      <c r="Q76" s="311" t="str">
        <f t="shared" si="7"/>
        <v>M-016</v>
      </c>
      <c r="R76" s="309" t="s">
        <v>330</v>
      </c>
      <c r="U76" s="287"/>
      <c r="V76" s="287"/>
      <c r="W76" s="287"/>
      <c r="X76" s="287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</row>
    <row r="77" spans="2:50" ht="30" customHeight="1" x14ac:dyDescent="0.2">
      <c r="B77" s="651"/>
      <c r="C77" s="310" t="s">
        <v>274</v>
      </c>
      <c r="D77" s="311" t="s">
        <v>237</v>
      </c>
      <c r="E77" s="311" t="s">
        <v>265</v>
      </c>
      <c r="F77" s="305" t="s">
        <v>337</v>
      </c>
      <c r="G77" s="311" t="s">
        <v>267</v>
      </c>
      <c r="H77" s="311" t="s">
        <v>268</v>
      </c>
      <c r="I77" s="306">
        <v>42683</v>
      </c>
      <c r="J77" s="311">
        <v>10</v>
      </c>
      <c r="K77" s="271"/>
      <c r="L77" s="271"/>
      <c r="M77" s="311">
        <v>8.7999999999999995E-2</v>
      </c>
      <c r="N77" s="331">
        <f t="shared" si="1"/>
        <v>10.000088</v>
      </c>
      <c r="O77" s="311">
        <v>6.7000000000000004E-2</v>
      </c>
      <c r="P77" s="315">
        <v>0.8821</v>
      </c>
      <c r="Q77" s="311" t="str">
        <f t="shared" si="7"/>
        <v>M-016</v>
      </c>
      <c r="R77" s="309" t="s">
        <v>330</v>
      </c>
      <c r="U77" s="287"/>
      <c r="V77" s="287"/>
      <c r="W77" s="287"/>
      <c r="X77" s="287"/>
      <c r="Y77" s="287"/>
      <c r="Z77" s="287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</row>
    <row r="78" spans="2:50" ht="30" customHeight="1" x14ac:dyDescent="0.2">
      <c r="B78" s="651"/>
      <c r="C78" s="310" t="s">
        <v>275</v>
      </c>
      <c r="D78" s="311" t="s">
        <v>237</v>
      </c>
      <c r="E78" s="311" t="s">
        <v>265</v>
      </c>
      <c r="F78" s="305" t="s">
        <v>337</v>
      </c>
      <c r="G78" s="311" t="s">
        <v>267</v>
      </c>
      <c r="H78" s="311" t="s">
        <v>268</v>
      </c>
      <c r="I78" s="306">
        <v>42683</v>
      </c>
      <c r="J78" s="311">
        <v>20</v>
      </c>
      <c r="K78" s="271"/>
      <c r="L78" s="271"/>
      <c r="M78" s="311">
        <v>9.2999999999999999E-2</v>
      </c>
      <c r="N78" s="331">
        <f t="shared" si="1"/>
        <v>20.000093</v>
      </c>
      <c r="O78" s="311">
        <v>8.3000000000000004E-2</v>
      </c>
      <c r="P78" s="315">
        <v>0.88229999999999997</v>
      </c>
      <c r="Q78" s="311" t="str">
        <f t="shared" si="7"/>
        <v>M-016</v>
      </c>
      <c r="R78" s="309" t="s">
        <v>330</v>
      </c>
      <c r="U78" s="287"/>
      <c r="V78" s="287"/>
      <c r="W78" s="287"/>
      <c r="X78" s="287"/>
      <c r="Y78" s="287"/>
      <c r="Z78" s="287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</row>
    <row r="79" spans="2:50" ht="30" customHeight="1" x14ac:dyDescent="0.2">
      <c r="B79" s="651"/>
      <c r="C79" s="310" t="s">
        <v>276</v>
      </c>
      <c r="D79" s="311" t="s">
        <v>237</v>
      </c>
      <c r="E79" s="311" t="s">
        <v>265</v>
      </c>
      <c r="F79" s="305" t="s">
        <v>337</v>
      </c>
      <c r="G79" s="311" t="s">
        <v>272</v>
      </c>
      <c r="H79" s="311" t="s">
        <v>268</v>
      </c>
      <c r="I79" s="306">
        <v>42683</v>
      </c>
      <c r="J79" s="311">
        <v>20</v>
      </c>
      <c r="K79" s="271"/>
      <c r="L79" s="271"/>
      <c r="M79" s="311">
        <v>9.0999999999999998E-2</v>
      </c>
      <c r="N79" s="331">
        <f t="shared" si="1"/>
        <v>20.000091000000001</v>
      </c>
      <c r="O79" s="311">
        <v>8.3000000000000004E-2</v>
      </c>
      <c r="P79" s="315">
        <v>0.88239999999999996</v>
      </c>
      <c r="Q79" s="311" t="str">
        <f t="shared" si="7"/>
        <v>M-016</v>
      </c>
      <c r="R79" s="309" t="s">
        <v>330</v>
      </c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</row>
    <row r="80" spans="2:50" ht="30" customHeight="1" x14ac:dyDescent="0.2">
      <c r="B80" s="651"/>
      <c r="C80" s="310" t="s">
        <v>277</v>
      </c>
      <c r="D80" s="311" t="s">
        <v>237</v>
      </c>
      <c r="E80" s="311" t="s">
        <v>265</v>
      </c>
      <c r="F80" s="305" t="s">
        <v>337</v>
      </c>
      <c r="G80" s="311" t="s">
        <v>267</v>
      </c>
      <c r="H80" s="311" t="s">
        <v>268</v>
      </c>
      <c r="I80" s="306">
        <v>42683</v>
      </c>
      <c r="J80" s="311">
        <v>50</v>
      </c>
      <c r="K80" s="271"/>
      <c r="L80" s="271"/>
      <c r="M80" s="311">
        <v>0.08</v>
      </c>
      <c r="N80" s="313">
        <f t="shared" si="1"/>
        <v>50.000079999999997</v>
      </c>
      <c r="O80" s="314">
        <v>0.1</v>
      </c>
      <c r="P80" s="315">
        <v>0.88239999999999996</v>
      </c>
      <c r="Q80" s="311" t="str">
        <f t="shared" si="7"/>
        <v>M-016</v>
      </c>
      <c r="R80" s="309" t="s">
        <v>330</v>
      </c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</row>
    <row r="81" spans="2:50" ht="30" customHeight="1" x14ac:dyDescent="0.2">
      <c r="B81" s="651"/>
      <c r="C81" s="310" t="s">
        <v>278</v>
      </c>
      <c r="D81" s="311" t="s">
        <v>237</v>
      </c>
      <c r="E81" s="311" t="s">
        <v>265</v>
      </c>
      <c r="F81" s="305" t="s">
        <v>337</v>
      </c>
      <c r="G81" s="311" t="s">
        <v>267</v>
      </c>
      <c r="H81" s="311" t="s">
        <v>268</v>
      </c>
      <c r="I81" s="306">
        <v>42683</v>
      </c>
      <c r="J81" s="311">
        <v>100</v>
      </c>
      <c r="K81" s="271"/>
      <c r="L81" s="271"/>
      <c r="M81" s="311">
        <v>0.08</v>
      </c>
      <c r="N81" s="313">
        <f t="shared" si="1"/>
        <v>100.00008</v>
      </c>
      <c r="O81" s="311">
        <v>0.17</v>
      </c>
      <c r="P81" s="315">
        <v>0.88539999999999996</v>
      </c>
      <c r="Q81" s="311" t="str">
        <f t="shared" si="7"/>
        <v>M-016</v>
      </c>
      <c r="R81" s="309" t="s">
        <v>330</v>
      </c>
      <c r="U81" s="287"/>
      <c r="V81" s="287"/>
      <c r="W81" s="287"/>
      <c r="X81" s="287"/>
      <c r="Y81" s="287"/>
      <c r="Z81" s="287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V81" s="344"/>
      <c r="AW81" s="344"/>
      <c r="AX81" s="344"/>
    </row>
    <row r="82" spans="2:50" ht="30" customHeight="1" x14ac:dyDescent="0.2">
      <c r="B82" s="651"/>
      <c r="C82" s="310" t="s">
        <v>279</v>
      </c>
      <c r="D82" s="311" t="s">
        <v>237</v>
      </c>
      <c r="E82" s="311" t="s">
        <v>265</v>
      </c>
      <c r="F82" s="305" t="s">
        <v>337</v>
      </c>
      <c r="G82" s="311" t="s">
        <v>267</v>
      </c>
      <c r="H82" s="311" t="s">
        <v>268</v>
      </c>
      <c r="I82" s="306">
        <v>42683</v>
      </c>
      <c r="J82" s="311">
        <v>200</v>
      </c>
      <c r="K82" s="271"/>
      <c r="L82" s="271"/>
      <c r="M82" s="311">
        <v>0.28999999999999998</v>
      </c>
      <c r="N82" s="313">
        <f t="shared" si="1"/>
        <v>200.00029000000001</v>
      </c>
      <c r="O82" s="311">
        <v>0.33</v>
      </c>
      <c r="P82" s="315">
        <v>0.88519999999999999</v>
      </c>
      <c r="Q82" s="311" t="str">
        <f t="shared" si="7"/>
        <v>M-016</v>
      </c>
      <c r="R82" s="309" t="s">
        <v>330</v>
      </c>
      <c r="U82" s="287"/>
      <c r="V82" s="287"/>
      <c r="W82" s="287"/>
      <c r="X82" s="287"/>
      <c r="Y82" s="287"/>
      <c r="Z82" s="287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V82" s="344"/>
      <c r="AW82" s="344"/>
      <c r="AX82" s="344"/>
    </row>
    <row r="83" spans="2:50" ht="30" customHeight="1" x14ac:dyDescent="0.2">
      <c r="B83" s="651"/>
      <c r="C83" s="310" t="s">
        <v>280</v>
      </c>
      <c r="D83" s="311" t="s">
        <v>237</v>
      </c>
      <c r="E83" s="311" t="s">
        <v>265</v>
      </c>
      <c r="F83" s="305" t="s">
        <v>337</v>
      </c>
      <c r="G83" s="311" t="s">
        <v>272</v>
      </c>
      <c r="H83" s="311" t="s">
        <v>268</v>
      </c>
      <c r="I83" s="306">
        <v>42683</v>
      </c>
      <c r="J83" s="311">
        <v>200</v>
      </c>
      <c r="K83" s="271"/>
      <c r="L83" s="271"/>
      <c r="M83" s="311">
        <v>0.33</v>
      </c>
      <c r="N83" s="313">
        <f t="shared" si="1"/>
        <v>200.00032999999999</v>
      </c>
      <c r="O83" s="311">
        <v>0.33</v>
      </c>
      <c r="P83" s="355">
        <v>0.88500000000000001</v>
      </c>
      <c r="Q83" s="311" t="str">
        <f t="shared" si="7"/>
        <v>M-016</v>
      </c>
      <c r="R83" s="309" t="s">
        <v>330</v>
      </c>
      <c r="U83" s="287"/>
      <c r="V83" s="287"/>
      <c r="W83" s="287"/>
      <c r="X83" s="287"/>
      <c r="Y83" s="287"/>
      <c r="Z83" s="287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V83" s="344"/>
      <c r="AW83" s="344"/>
      <c r="AX83" s="344"/>
    </row>
    <row r="84" spans="2:50" ht="30" customHeight="1" x14ac:dyDescent="0.2">
      <c r="B84" s="651"/>
      <c r="C84" s="310" t="s">
        <v>281</v>
      </c>
      <c r="D84" s="311" t="s">
        <v>237</v>
      </c>
      <c r="E84" s="311" t="s">
        <v>265</v>
      </c>
      <c r="F84" s="305" t="s">
        <v>337</v>
      </c>
      <c r="G84" s="311" t="s">
        <v>267</v>
      </c>
      <c r="H84" s="311" t="s">
        <v>268</v>
      </c>
      <c r="I84" s="306">
        <v>42683</v>
      </c>
      <c r="J84" s="311">
        <v>500</v>
      </c>
      <c r="K84" s="271"/>
      <c r="L84" s="271"/>
      <c r="M84" s="311">
        <v>0.94</v>
      </c>
      <c r="N84" s="313">
        <f t="shared" si="1"/>
        <v>500.00094000000001</v>
      </c>
      <c r="O84" s="311">
        <v>0.83</v>
      </c>
      <c r="P84" s="315">
        <v>0.88539999999999996</v>
      </c>
      <c r="Q84" s="311" t="str">
        <f t="shared" si="7"/>
        <v>M-016</v>
      </c>
      <c r="R84" s="309" t="s">
        <v>330</v>
      </c>
      <c r="S84" s="287"/>
      <c r="T84" s="287"/>
      <c r="U84" s="287"/>
      <c r="V84" s="287"/>
      <c r="W84" s="287"/>
      <c r="X84" s="287"/>
      <c r="Y84" s="287"/>
      <c r="Z84" s="287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V84" s="344"/>
      <c r="AW84" s="344"/>
      <c r="AX84" s="344"/>
    </row>
    <row r="85" spans="2:50" ht="30" customHeight="1" x14ac:dyDescent="0.2">
      <c r="B85" s="651"/>
      <c r="C85" s="310" t="s">
        <v>282</v>
      </c>
      <c r="D85" s="311" t="s">
        <v>237</v>
      </c>
      <c r="E85" s="311" t="s">
        <v>265</v>
      </c>
      <c r="F85" s="305" t="s">
        <v>337</v>
      </c>
      <c r="G85" s="311" t="s">
        <v>267</v>
      </c>
      <c r="H85" s="311" t="s">
        <v>268</v>
      </c>
      <c r="I85" s="306">
        <v>42683</v>
      </c>
      <c r="J85" s="311">
        <v>1000</v>
      </c>
      <c r="K85" s="271"/>
      <c r="L85" s="271"/>
      <c r="M85" s="317">
        <v>0</v>
      </c>
      <c r="N85" s="316">
        <f t="shared" si="1"/>
        <v>1000</v>
      </c>
      <c r="O85" s="311">
        <v>1.7</v>
      </c>
      <c r="P85" s="315">
        <v>0.88449999999999995</v>
      </c>
      <c r="Q85" s="311" t="str">
        <f t="shared" si="7"/>
        <v>M-016</v>
      </c>
      <c r="R85" s="309" t="s">
        <v>330</v>
      </c>
      <c r="S85" s="287"/>
      <c r="T85" s="287"/>
      <c r="U85" s="287"/>
      <c r="V85" s="287"/>
      <c r="W85" s="287"/>
      <c r="X85" s="287"/>
      <c r="Y85" s="287"/>
      <c r="Z85" s="287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V85" s="344"/>
      <c r="AW85" s="344"/>
      <c r="AX85" s="344"/>
    </row>
    <row r="86" spans="2:50" ht="30" customHeight="1" x14ac:dyDescent="0.2">
      <c r="B86" s="651"/>
      <c r="C86" s="310" t="s">
        <v>283</v>
      </c>
      <c r="D86" s="311" t="s">
        <v>237</v>
      </c>
      <c r="E86" s="311" t="s">
        <v>265</v>
      </c>
      <c r="F86" s="305" t="s">
        <v>337</v>
      </c>
      <c r="G86" s="311" t="s">
        <v>267</v>
      </c>
      <c r="H86" s="311" t="s">
        <v>268</v>
      </c>
      <c r="I86" s="306">
        <v>42683</v>
      </c>
      <c r="J86" s="311">
        <v>2000</v>
      </c>
      <c r="K86" s="271"/>
      <c r="L86" s="271"/>
      <c r="M86" s="317">
        <v>3</v>
      </c>
      <c r="N86" s="316">
        <f t="shared" si="1"/>
        <v>2000.0029999999999</v>
      </c>
      <c r="O86" s="311">
        <v>3.3</v>
      </c>
      <c r="P86" s="315">
        <v>0.88429999999999997</v>
      </c>
      <c r="Q86" s="311" t="str">
        <f t="shared" si="7"/>
        <v>M-016</v>
      </c>
      <c r="R86" s="309" t="s">
        <v>330</v>
      </c>
      <c r="S86" s="287"/>
      <c r="T86" s="287"/>
      <c r="U86" s="287"/>
      <c r="V86" s="287"/>
      <c r="W86" s="287"/>
      <c r="X86" s="287"/>
      <c r="Y86" s="287"/>
      <c r="Z86" s="287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V86" s="344"/>
      <c r="AW86" s="344"/>
      <c r="AX86" s="344"/>
    </row>
    <row r="87" spans="2:50" ht="30" customHeight="1" x14ac:dyDescent="0.2">
      <c r="B87" s="651"/>
      <c r="C87" s="310" t="s">
        <v>284</v>
      </c>
      <c r="D87" s="311" t="s">
        <v>237</v>
      </c>
      <c r="E87" s="311" t="s">
        <v>265</v>
      </c>
      <c r="F87" s="305" t="s">
        <v>337</v>
      </c>
      <c r="G87" s="311" t="s">
        <v>272</v>
      </c>
      <c r="H87" s="311" t="s">
        <v>268</v>
      </c>
      <c r="I87" s="306">
        <v>42683</v>
      </c>
      <c r="J87" s="311">
        <v>2000</v>
      </c>
      <c r="K87" s="271"/>
      <c r="L87" s="271"/>
      <c r="M87" s="311">
        <v>3.9</v>
      </c>
      <c r="N87" s="316">
        <f t="shared" si="1"/>
        <v>2000.0038999999999</v>
      </c>
      <c r="O87" s="311">
        <v>3.3</v>
      </c>
      <c r="P87" s="315">
        <v>0.8841</v>
      </c>
      <c r="Q87" s="311" t="str">
        <f>Q86</f>
        <v>M-016</v>
      </c>
      <c r="R87" s="309" t="s">
        <v>330</v>
      </c>
      <c r="S87" s="287"/>
      <c r="T87" s="287"/>
      <c r="U87" s="287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V87" s="344"/>
      <c r="AW87" s="344"/>
      <c r="AX87" s="344"/>
    </row>
    <row r="88" spans="2:50" ht="30" customHeight="1" thickBot="1" x14ac:dyDescent="0.25">
      <c r="B88" s="652"/>
      <c r="C88" s="334" t="s">
        <v>285</v>
      </c>
      <c r="D88" s="335" t="s">
        <v>237</v>
      </c>
      <c r="E88" s="335" t="s">
        <v>265</v>
      </c>
      <c r="F88" s="305" t="s">
        <v>337</v>
      </c>
      <c r="G88" s="335" t="s">
        <v>267</v>
      </c>
      <c r="H88" s="335" t="s">
        <v>268</v>
      </c>
      <c r="I88" s="306">
        <v>42683</v>
      </c>
      <c r="J88" s="335">
        <v>5000</v>
      </c>
      <c r="K88" s="272"/>
      <c r="L88" s="272"/>
      <c r="M88" s="335">
        <v>7.7</v>
      </c>
      <c r="N88" s="337">
        <f t="shared" si="1"/>
        <v>5000.0077000000001</v>
      </c>
      <c r="O88" s="335">
        <v>8.3000000000000007</v>
      </c>
      <c r="P88" s="356">
        <v>0.88370000000000004</v>
      </c>
      <c r="Q88" s="335" t="str">
        <f t="shared" si="7"/>
        <v>M-016</v>
      </c>
      <c r="R88" s="309" t="s">
        <v>330</v>
      </c>
      <c r="U88" s="287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V88" s="344"/>
      <c r="AW88" s="344"/>
      <c r="AX88" s="344"/>
    </row>
    <row r="89" spans="2:50" ht="30" customHeight="1" x14ac:dyDescent="0.2">
      <c r="B89" s="357"/>
      <c r="U89" s="287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V89" s="344"/>
      <c r="AW89" s="344"/>
      <c r="AX89" s="344"/>
    </row>
    <row r="90" spans="2:50" ht="30" customHeight="1" x14ac:dyDescent="0.2">
      <c r="B90" s="357"/>
      <c r="U90" s="287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V90" s="344"/>
      <c r="AW90" s="344"/>
      <c r="AX90" s="344"/>
    </row>
    <row r="91" spans="2:50" ht="30" customHeight="1" x14ac:dyDescent="0.2">
      <c r="O91" s="287"/>
      <c r="P91" s="287"/>
      <c r="Q91" s="287"/>
      <c r="R91" s="287"/>
      <c r="S91" s="287"/>
      <c r="T91" s="287"/>
      <c r="U91" s="287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V91" s="344"/>
      <c r="AW91" s="344"/>
      <c r="AX91" s="344"/>
    </row>
    <row r="92" spans="2:50" ht="30" customHeight="1" x14ac:dyDescent="0.2">
      <c r="O92" s="287"/>
      <c r="P92" s="287"/>
      <c r="Q92" s="287"/>
      <c r="R92" s="287"/>
      <c r="S92" s="287"/>
      <c r="T92" s="287"/>
      <c r="U92" s="287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V92" s="344"/>
      <c r="AW92" s="344"/>
      <c r="AX92" s="344"/>
    </row>
    <row r="93" spans="2:50" ht="30" customHeight="1" x14ac:dyDescent="0.2">
      <c r="O93" s="287"/>
      <c r="P93" s="287"/>
      <c r="Q93" s="287"/>
      <c r="R93" s="287"/>
      <c r="S93" s="287"/>
      <c r="T93" s="287"/>
      <c r="U93" s="287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V93" s="344"/>
      <c r="AW93" s="344"/>
      <c r="AX93" s="344"/>
    </row>
    <row r="94" spans="2:50" ht="30" customHeight="1" x14ac:dyDescent="0.2">
      <c r="O94" s="287"/>
      <c r="P94" s="287"/>
      <c r="Q94" s="287"/>
      <c r="R94" s="287"/>
      <c r="S94" s="287"/>
      <c r="T94" s="287"/>
      <c r="U94" s="287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V94" s="344"/>
      <c r="AW94" s="344"/>
      <c r="AX94" s="344"/>
    </row>
    <row r="95" spans="2:50" ht="30" customHeight="1" thickBot="1" x14ac:dyDescent="0.25">
      <c r="O95" s="287"/>
      <c r="P95" s="287"/>
      <c r="Q95" s="287"/>
      <c r="R95" s="287"/>
      <c r="S95" s="287"/>
      <c r="T95" s="287"/>
      <c r="U95" s="287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V95" s="344"/>
      <c r="AW95" s="344"/>
      <c r="AX95" s="344"/>
    </row>
    <row r="96" spans="2:50" ht="30" customHeight="1" x14ac:dyDescent="0.2">
      <c r="B96" s="357"/>
      <c r="C96" s="580" t="s">
        <v>300</v>
      </c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2"/>
      <c r="U96" s="287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V96" s="344"/>
      <c r="AW96" s="344"/>
      <c r="AX96" s="344"/>
    </row>
    <row r="97" spans="1:50" ht="30" customHeight="1" thickBot="1" x14ac:dyDescent="0.25">
      <c r="B97" s="357"/>
      <c r="C97" s="583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5"/>
      <c r="U97" s="287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V97" s="344"/>
      <c r="AW97" s="344"/>
      <c r="AX97" s="344"/>
    </row>
    <row r="98" spans="1:50" ht="30" customHeight="1" thickBot="1" x14ac:dyDescent="0.25">
      <c r="B98" s="357"/>
      <c r="C98" s="586" t="s">
        <v>368</v>
      </c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8"/>
      <c r="U98" s="287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V98" s="344"/>
      <c r="AW98" s="344"/>
      <c r="AX98" s="344"/>
    </row>
    <row r="99" spans="1:50" ht="30" customHeight="1" x14ac:dyDescent="0.2">
      <c r="B99" s="357"/>
      <c r="C99" s="344"/>
      <c r="D99" s="589" t="s">
        <v>3</v>
      </c>
      <c r="E99" s="591" t="s">
        <v>301</v>
      </c>
      <c r="F99" s="591" t="s">
        <v>302</v>
      </c>
      <c r="G99" s="591" t="s">
        <v>303</v>
      </c>
      <c r="H99" s="591" t="s">
        <v>304</v>
      </c>
      <c r="I99" s="591" t="s">
        <v>305</v>
      </c>
      <c r="J99" s="591" t="s">
        <v>306</v>
      </c>
      <c r="K99" s="591" t="s">
        <v>307</v>
      </c>
      <c r="L99" s="559" t="s">
        <v>308</v>
      </c>
      <c r="O99" s="598" t="s">
        <v>386</v>
      </c>
      <c r="P99" s="599" t="s">
        <v>305</v>
      </c>
      <c r="Q99" s="600"/>
      <c r="R99" s="601"/>
      <c r="S99" s="557" t="s">
        <v>307</v>
      </c>
      <c r="T99" s="559" t="s">
        <v>308</v>
      </c>
      <c r="U99" s="287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V99" s="344"/>
      <c r="AW99" s="344"/>
      <c r="AX99" s="344"/>
    </row>
    <row r="100" spans="1:50" ht="30" customHeight="1" thickBot="1" x14ac:dyDescent="0.25">
      <c r="B100" s="357"/>
      <c r="C100" s="361"/>
      <c r="D100" s="590"/>
      <c r="E100" s="592"/>
      <c r="F100" s="592"/>
      <c r="G100" s="592"/>
      <c r="H100" s="592"/>
      <c r="I100" s="592"/>
      <c r="J100" s="592"/>
      <c r="K100" s="592"/>
      <c r="L100" s="560"/>
      <c r="O100" s="598"/>
      <c r="P100" s="599"/>
      <c r="Q100" s="600"/>
      <c r="R100" s="601"/>
      <c r="S100" s="558"/>
      <c r="T100" s="560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V100" s="344"/>
      <c r="AW100" s="344"/>
      <c r="AX100" s="344"/>
    </row>
    <row r="101" spans="1:50" ht="30" customHeight="1" thickBot="1" x14ac:dyDescent="0.25">
      <c r="A101" s="419"/>
      <c r="B101" s="428"/>
      <c r="C101" s="429"/>
      <c r="D101" s="429"/>
      <c r="E101" s="429"/>
      <c r="F101" s="429"/>
      <c r="G101" s="429"/>
      <c r="H101" s="429"/>
      <c r="I101" s="430"/>
      <c r="J101" s="430"/>
      <c r="K101" s="430"/>
      <c r="L101" s="430"/>
      <c r="O101" s="431"/>
      <c r="P101" s="431"/>
      <c r="Q101" s="431"/>
      <c r="R101" s="431"/>
      <c r="S101" s="432"/>
      <c r="T101" s="433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V101" s="344"/>
      <c r="AW101" s="344"/>
      <c r="AX101" s="344"/>
    </row>
    <row r="102" spans="1:50" ht="30" customHeight="1" x14ac:dyDescent="0.2">
      <c r="A102" s="548" t="s">
        <v>383</v>
      </c>
      <c r="B102" s="593"/>
      <c r="C102" s="500" t="s">
        <v>388</v>
      </c>
      <c r="D102" s="604" t="s">
        <v>309</v>
      </c>
      <c r="E102" s="482" t="s">
        <v>352</v>
      </c>
      <c r="F102" s="453">
        <v>18.2</v>
      </c>
      <c r="G102" s="448">
        <v>0.1</v>
      </c>
      <c r="H102" s="454">
        <v>0</v>
      </c>
      <c r="I102" s="574">
        <v>0.2</v>
      </c>
      <c r="J102" s="574">
        <v>1.96</v>
      </c>
      <c r="K102" s="614">
        <v>42580</v>
      </c>
      <c r="L102" s="607" t="s">
        <v>339</v>
      </c>
      <c r="O102" s="422"/>
      <c r="P102" s="416" t="s">
        <v>380</v>
      </c>
      <c r="Q102" s="417" t="s">
        <v>381</v>
      </c>
      <c r="R102" s="417" t="s">
        <v>382</v>
      </c>
      <c r="S102" s="602" t="s">
        <v>389</v>
      </c>
      <c r="T102" s="603" t="s">
        <v>390</v>
      </c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V102" s="344"/>
      <c r="AW102" s="344"/>
      <c r="AX102" s="344"/>
    </row>
    <row r="103" spans="1:50" ht="30" customHeight="1" x14ac:dyDescent="0.2">
      <c r="A103" s="594"/>
      <c r="B103" s="595"/>
      <c r="C103" s="501"/>
      <c r="D103" s="605"/>
      <c r="E103" s="483"/>
      <c r="F103" s="449">
        <v>20.100000000000001</v>
      </c>
      <c r="G103" s="455">
        <v>0.1</v>
      </c>
      <c r="H103" s="456">
        <v>0</v>
      </c>
      <c r="I103" s="572"/>
      <c r="J103" s="572"/>
      <c r="K103" s="577"/>
      <c r="L103" s="608"/>
      <c r="O103" s="480" t="s">
        <v>407</v>
      </c>
      <c r="P103" s="411">
        <f>I102</f>
        <v>0.2</v>
      </c>
      <c r="Q103" s="412">
        <f>I105</f>
        <v>1.7</v>
      </c>
      <c r="R103" s="412">
        <f>I108</f>
        <v>0.06</v>
      </c>
      <c r="S103" s="517"/>
      <c r="T103" s="520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V103" s="344"/>
      <c r="AW103" s="344"/>
      <c r="AX103" s="344"/>
    </row>
    <row r="104" spans="1:50" ht="30" customHeight="1" thickBot="1" x14ac:dyDescent="0.25">
      <c r="A104" s="596"/>
      <c r="B104" s="597"/>
      <c r="C104" s="501"/>
      <c r="D104" s="605"/>
      <c r="E104" s="483"/>
      <c r="F104" s="457">
        <v>22</v>
      </c>
      <c r="G104" s="455">
        <v>0.1</v>
      </c>
      <c r="H104" s="456">
        <v>0</v>
      </c>
      <c r="I104" s="575"/>
      <c r="J104" s="575"/>
      <c r="K104" s="578"/>
      <c r="L104" s="609"/>
      <c r="O104" s="481"/>
      <c r="P104" s="413"/>
      <c r="Q104" s="414"/>
      <c r="R104" s="414"/>
      <c r="S104" s="518"/>
      <c r="T104" s="521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V104" s="344"/>
      <c r="AW104" s="344"/>
      <c r="AX104" s="344"/>
    </row>
    <row r="105" spans="1:50" ht="30" customHeight="1" x14ac:dyDescent="0.2">
      <c r="A105" s="542" t="s">
        <v>384</v>
      </c>
      <c r="B105" s="554"/>
      <c r="C105" s="501"/>
      <c r="D105" s="605"/>
      <c r="E105" s="483"/>
      <c r="F105" s="458">
        <v>41.8</v>
      </c>
      <c r="G105" s="455">
        <v>0.1</v>
      </c>
      <c r="H105" s="458">
        <v>-1.8</v>
      </c>
      <c r="I105" s="571">
        <v>1.7</v>
      </c>
      <c r="J105" s="571">
        <v>1.96</v>
      </c>
      <c r="K105" s="576">
        <v>42586</v>
      </c>
      <c r="L105" s="610" t="s">
        <v>353</v>
      </c>
      <c r="O105" s="287"/>
      <c r="P105" s="287"/>
      <c r="Q105" s="287"/>
      <c r="R105" s="287"/>
      <c r="S105" s="287"/>
      <c r="T105" s="287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V105" s="344"/>
      <c r="AW105" s="344"/>
      <c r="AX105" s="344"/>
    </row>
    <row r="106" spans="1:50" ht="30" customHeight="1" x14ac:dyDescent="0.2">
      <c r="A106" s="544"/>
      <c r="B106" s="555"/>
      <c r="C106" s="501"/>
      <c r="D106" s="605"/>
      <c r="E106" s="483"/>
      <c r="F106" s="458">
        <v>50.4</v>
      </c>
      <c r="G106" s="455">
        <v>0.1</v>
      </c>
      <c r="H106" s="458">
        <v>-0.4</v>
      </c>
      <c r="I106" s="572"/>
      <c r="J106" s="572"/>
      <c r="K106" s="577"/>
      <c r="L106" s="608"/>
      <c r="O106" s="287"/>
      <c r="P106" s="287"/>
      <c r="Q106" s="287"/>
      <c r="R106" s="287"/>
      <c r="S106" s="287"/>
      <c r="T106" s="287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V106" s="344"/>
      <c r="AW106" s="344"/>
      <c r="AX106" s="344"/>
    </row>
    <row r="107" spans="1:50" ht="30" customHeight="1" thickBot="1" x14ac:dyDescent="0.25">
      <c r="A107" s="546"/>
      <c r="B107" s="556"/>
      <c r="C107" s="501"/>
      <c r="D107" s="605"/>
      <c r="E107" s="483"/>
      <c r="F107" s="458">
        <v>59.3</v>
      </c>
      <c r="G107" s="455">
        <v>0.1</v>
      </c>
      <c r="H107" s="458">
        <v>0.8</v>
      </c>
      <c r="I107" s="575"/>
      <c r="J107" s="575"/>
      <c r="K107" s="578"/>
      <c r="L107" s="609"/>
      <c r="O107" s="287"/>
      <c r="P107" s="287"/>
      <c r="Q107" s="287"/>
      <c r="R107" s="287"/>
      <c r="S107" s="287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V107" s="344"/>
      <c r="AW107" s="344"/>
      <c r="AX107" s="344"/>
    </row>
    <row r="108" spans="1:50" ht="30" customHeight="1" x14ac:dyDescent="0.2">
      <c r="A108" s="544" t="s">
        <v>391</v>
      </c>
      <c r="B108" s="555"/>
      <c r="C108" s="501"/>
      <c r="D108" s="605"/>
      <c r="E108" s="483"/>
      <c r="F108" s="458">
        <v>397.9</v>
      </c>
      <c r="G108" s="449">
        <v>0.1</v>
      </c>
      <c r="H108" s="458">
        <v>-1.3</v>
      </c>
      <c r="I108" s="571">
        <v>0.06</v>
      </c>
      <c r="J108" s="571">
        <v>2</v>
      </c>
      <c r="K108" s="576">
        <v>42625</v>
      </c>
      <c r="L108" s="611" t="s">
        <v>354</v>
      </c>
      <c r="O108" s="287"/>
      <c r="P108" s="287"/>
      <c r="Q108" s="287"/>
      <c r="R108" s="287"/>
      <c r="S108" s="287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V108" s="344"/>
      <c r="AW108" s="344"/>
      <c r="AX108" s="344"/>
    </row>
    <row r="109" spans="1:50" ht="30" customHeight="1" x14ac:dyDescent="0.2">
      <c r="A109" s="544"/>
      <c r="B109" s="555"/>
      <c r="C109" s="501"/>
      <c r="D109" s="605"/>
      <c r="E109" s="483"/>
      <c r="F109" s="449">
        <v>753.1</v>
      </c>
      <c r="G109" s="449">
        <v>0.1</v>
      </c>
      <c r="H109" s="449">
        <v>-0.74</v>
      </c>
      <c r="I109" s="572"/>
      <c r="J109" s="572"/>
      <c r="K109" s="577"/>
      <c r="L109" s="612"/>
      <c r="O109" s="287"/>
      <c r="P109" s="287"/>
      <c r="Q109" s="287"/>
      <c r="R109" s="287"/>
      <c r="S109" s="287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V109" s="344"/>
      <c r="AW109" s="344"/>
      <c r="AX109" s="344"/>
    </row>
    <row r="110" spans="1:50" ht="30" customHeight="1" thickBot="1" x14ac:dyDescent="0.25">
      <c r="A110" s="546"/>
      <c r="B110" s="556"/>
      <c r="C110" s="502"/>
      <c r="D110" s="606"/>
      <c r="E110" s="484"/>
      <c r="F110" s="459">
        <v>899</v>
      </c>
      <c r="G110" s="452">
        <v>0.1</v>
      </c>
      <c r="H110" s="452">
        <v>-0.09</v>
      </c>
      <c r="I110" s="573"/>
      <c r="J110" s="573"/>
      <c r="K110" s="579"/>
      <c r="L110" s="613"/>
      <c r="O110" s="287"/>
      <c r="P110" s="287"/>
      <c r="Q110" s="287"/>
      <c r="R110" s="287"/>
      <c r="S110" s="287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V110" s="344"/>
      <c r="AW110" s="344"/>
      <c r="AX110" s="344"/>
    </row>
    <row r="111" spans="1:50" ht="30" customHeight="1" thickBot="1" x14ac:dyDescent="0.25">
      <c r="A111" s="434"/>
      <c r="B111" s="434"/>
      <c r="C111" s="435"/>
      <c r="D111" s="436"/>
      <c r="E111" s="437"/>
      <c r="F111" s="438"/>
      <c r="G111" s="435"/>
      <c r="H111" s="435"/>
      <c r="I111" s="435"/>
      <c r="J111" s="435"/>
      <c r="K111" s="439"/>
      <c r="L111" s="435"/>
      <c r="O111" s="287"/>
      <c r="P111" s="287"/>
      <c r="Q111" s="287"/>
      <c r="R111" s="287"/>
      <c r="S111" s="287"/>
      <c r="U111" s="287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</row>
    <row r="112" spans="1:50" ht="30" customHeight="1" thickBot="1" x14ac:dyDescent="0.25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O112" s="287"/>
      <c r="P112" s="287"/>
      <c r="Q112" s="287"/>
      <c r="R112" s="287"/>
      <c r="S112" s="287"/>
      <c r="U112" s="287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</row>
    <row r="113" spans="1:50" ht="30" customHeight="1" x14ac:dyDescent="0.2">
      <c r="A113" s="561" t="s">
        <v>383</v>
      </c>
      <c r="B113" s="562"/>
      <c r="C113" s="500" t="s">
        <v>392</v>
      </c>
      <c r="D113" s="567" t="s">
        <v>309</v>
      </c>
      <c r="E113" s="482">
        <v>19506160802033</v>
      </c>
      <c r="F113" s="454">
        <v>20</v>
      </c>
      <c r="G113" s="448">
        <v>0.1</v>
      </c>
      <c r="H113" s="448">
        <v>-0.1</v>
      </c>
      <c r="I113" s="485">
        <v>1.5</v>
      </c>
      <c r="J113" s="485">
        <v>2</v>
      </c>
      <c r="K113" s="568">
        <v>42675</v>
      </c>
      <c r="L113" s="569" t="s">
        <v>349</v>
      </c>
      <c r="O113" s="395"/>
      <c r="P113" s="415" t="s">
        <v>380</v>
      </c>
      <c r="Q113" s="423" t="s">
        <v>381</v>
      </c>
      <c r="R113" s="423" t="s">
        <v>382</v>
      </c>
      <c r="S113" s="516" t="s">
        <v>385</v>
      </c>
      <c r="T113" s="519" t="s">
        <v>378</v>
      </c>
      <c r="U113" s="287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</row>
    <row r="114" spans="1:50" ht="30" customHeight="1" x14ac:dyDescent="0.2">
      <c r="A114" s="563"/>
      <c r="B114" s="564"/>
      <c r="C114" s="501"/>
      <c r="D114" s="483"/>
      <c r="E114" s="483"/>
      <c r="F114" s="449">
        <v>28.1</v>
      </c>
      <c r="G114" s="449">
        <v>0.1</v>
      </c>
      <c r="H114" s="449">
        <v>0.1</v>
      </c>
      <c r="I114" s="483"/>
      <c r="J114" s="483"/>
      <c r="K114" s="483"/>
      <c r="L114" s="492"/>
      <c r="O114" s="480" t="s">
        <v>379</v>
      </c>
      <c r="P114" s="411">
        <f>I113</f>
        <v>1.5</v>
      </c>
      <c r="Q114" s="440">
        <f>I116</f>
        <v>1.6</v>
      </c>
      <c r="R114" s="441">
        <f>I119</f>
        <v>0.21</v>
      </c>
      <c r="S114" s="517"/>
      <c r="T114" s="520"/>
      <c r="U114" s="287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</row>
    <row r="115" spans="1:50" ht="30" customHeight="1" thickBot="1" x14ac:dyDescent="0.25">
      <c r="A115" s="565"/>
      <c r="B115" s="566"/>
      <c r="C115" s="501"/>
      <c r="D115" s="483"/>
      <c r="E115" s="483"/>
      <c r="F115" s="449">
        <v>32.1</v>
      </c>
      <c r="G115" s="449">
        <v>0.1</v>
      </c>
      <c r="H115" s="449">
        <v>0.1</v>
      </c>
      <c r="I115" s="486"/>
      <c r="J115" s="486"/>
      <c r="K115" s="486"/>
      <c r="L115" s="570"/>
      <c r="O115" s="481"/>
      <c r="P115" s="413"/>
      <c r="Q115" s="414"/>
      <c r="R115" s="414"/>
      <c r="S115" s="518"/>
      <c r="T115" s="521"/>
      <c r="U115" s="287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</row>
    <row r="116" spans="1:50" ht="30" customHeight="1" x14ac:dyDescent="0.2">
      <c r="A116" s="542" t="s">
        <v>384</v>
      </c>
      <c r="B116" s="554"/>
      <c r="C116" s="501"/>
      <c r="D116" s="483"/>
      <c r="E116" s="483"/>
      <c r="F116" s="449">
        <v>50.1</v>
      </c>
      <c r="G116" s="460">
        <v>0.1</v>
      </c>
      <c r="H116" s="460">
        <v>0.9</v>
      </c>
      <c r="I116" s="487">
        <v>1.6</v>
      </c>
      <c r="J116" s="489">
        <v>2</v>
      </c>
      <c r="K116" s="490">
        <v>42676</v>
      </c>
      <c r="L116" s="491" t="s">
        <v>350</v>
      </c>
      <c r="O116" s="287"/>
      <c r="P116" s="287"/>
      <c r="Q116" s="287"/>
      <c r="R116" s="287"/>
      <c r="U116" s="287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</row>
    <row r="117" spans="1:50" ht="30" customHeight="1" x14ac:dyDescent="0.2">
      <c r="A117" s="544"/>
      <c r="B117" s="555"/>
      <c r="C117" s="501"/>
      <c r="D117" s="483"/>
      <c r="E117" s="483"/>
      <c r="F117" s="449">
        <v>59.9</v>
      </c>
      <c r="G117" s="460">
        <v>0.1</v>
      </c>
      <c r="H117" s="460">
        <v>0.5</v>
      </c>
      <c r="I117" s="483"/>
      <c r="J117" s="483"/>
      <c r="K117" s="483"/>
      <c r="L117" s="492"/>
      <c r="O117" s="287"/>
      <c r="P117" s="287"/>
      <c r="Q117" s="287"/>
      <c r="R117" s="287"/>
      <c r="U117" s="287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</row>
    <row r="118" spans="1:50" ht="30" customHeight="1" thickBot="1" x14ac:dyDescent="0.25">
      <c r="A118" s="546"/>
      <c r="B118" s="556"/>
      <c r="C118" s="501"/>
      <c r="D118" s="483"/>
      <c r="E118" s="483"/>
      <c r="F118" s="449">
        <v>69.099999999999994</v>
      </c>
      <c r="G118" s="460">
        <v>0.1</v>
      </c>
      <c r="H118" s="460">
        <v>0.1</v>
      </c>
      <c r="I118" s="486"/>
      <c r="J118" s="486"/>
      <c r="K118" s="486"/>
      <c r="L118" s="570"/>
      <c r="O118" s="287"/>
      <c r="P118" s="287"/>
      <c r="Q118" s="287"/>
      <c r="R118" s="287"/>
      <c r="U118" s="287"/>
      <c r="V118" s="287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</row>
    <row r="119" spans="1:50" ht="30" customHeight="1" x14ac:dyDescent="0.2">
      <c r="A119" s="542" t="s">
        <v>391</v>
      </c>
      <c r="B119" s="554"/>
      <c r="C119" s="501"/>
      <c r="D119" s="483"/>
      <c r="E119" s="483"/>
      <c r="F119" s="450">
        <v>499</v>
      </c>
      <c r="G119" s="460">
        <v>0.1</v>
      </c>
      <c r="H119" s="460">
        <v>-1</v>
      </c>
      <c r="I119" s="488">
        <v>0.21</v>
      </c>
      <c r="J119" s="489">
        <v>1.6</v>
      </c>
      <c r="K119" s="490">
        <v>42671</v>
      </c>
      <c r="L119" s="491" t="s">
        <v>351</v>
      </c>
      <c r="O119" s="287"/>
      <c r="P119" s="287"/>
      <c r="Q119" s="287"/>
      <c r="R119" s="287"/>
      <c r="T119" s="370"/>
      <c r="U119" s="287"/>
      <c r="V119" s="287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</row>
    <row r="120" spans="1:50" ht="30" customHeight="1" x14ac:dyDescent="0.2">
      <c r="A120" s="544"/>
      <c r="B120" s="555"/>
      <c r="C120" s="501"/>
      <c r="D120" s="483"/>
      <c r="E120" s="483"/>
      <c r="F120" s="449">
        <v>799.8</v>
      </c>
      <c r="G120" s="460">
        <v>0.1</v>
      </c>
      <c r="H120" s="460">
        <v>-0.4</v>
      </c>
      <c r="I120" s="483"/>
      <c r="J120" s="483"/>
      <c r="K120" s="483"/>
      <c r="L120" s="492"/>
      <c r="O120" s="287"/>
      <c r="P120" s="287"/>
      <c r="Q120" s="287"/>
      <c r="R120" s="287"/>
      <c r="T120" s="342"/>
      <c r="U120" s="287"/>
      <c r="V120" s="287"/>
    </row>
    <row r="121" spans="1:50" ht="30" customHeight="1" thickBot="1" x14ac:dyDescent="0.25">
      <c r="A121" s="546"/>
      <c r="B121" s="556"/>
      <c r="C121" s="502"/>
      <c r="D121" s="484"/>
      <c r="E121" s="484"/>
      <c r="F121" s="452">
        <v>1099.8</v>
      </c>
      <c r="G121" s="461">
        <v>0.1</v>
      </c>
      <c r="H121" s="461">
        <v>-0.4</v>
      </c>
      <c r="I121" s="484"/>
      <c r="J121" s="484"/>
      <c r="K121" s="484"/>
      <c r="L121" s="493"/>
      <c r="O121" s="287"/>
      <c r="P121" s="287"/>
      <c r="Q121" s="287"/>
      <c r="R121" s="287"/>
      <c r="T121" s="342"/>
      <c r="U121" s="287"/>
      <c r="V121" s="287"/>
    </row>
    <row r="122" spans="1:50" ht="30" customHeight="1" thickBot="1" x14ac:dyDescent="0.25">
      <c r="A122" s="421"/>
      <c r="B122" s="418"/>
      <c r="C122" s="442"/>
      <c r="D122" s="443"/>
      <c r="E122" s="394"/>
      <c r="F122" s="442"/>
      <c r="G122" s="442"/>
      <c r="H122" s="442"/>
      <c r="I122" s="442"/>
      <c r="J122" s="442"/>
      <c r="K122" s="444"/>
      <c r="L122" s="445"/>
      <c r="O122" s="287"/>
      <c r="P122" s="287"/>
      <c r="Q122" s="287"/>
      <c r="R122" s="287"/>
      <c r="T122" s="342"/>
      <c r="U122" s="287"/>
      <c r="V122" s="287"/>
    </row>
    <row r="123" spans="1:50" ht="30" customHeight="1" thickBot="1" x14ac:dyDescent="0.25">
      <c r="A123" s="446"/>
      <c r="B123" s="431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O123" s="287"/>
      <c r="P123" s="287"/>
      <c r="Q123" s="287"/>
      <c r="R123" s="287"/>
      <c r="T123" s="342"/>
      <c r="U123" s="287"/>
      <c r="V123" s="287"/>
    </row>
    <row r="124" spans="1:50" ht="30" customHeight="1" x14ac:dyDescent="0.2">
      <c r="A124" s="548" t="s">
        <v>383</v>
      </c>
      <c r="B124" s="549"/>
      <c r="C124" s="500" t="s">
        <v>393</v>
      </c>
      <c r="D124" s="528" t="s">
        <v>309</v>
      </c>
      <c r="E124" s="482">
        <v>19406160802033</v>
      </c>
      <c r="F124" s="454">
        <v>16</v>
      </c>
      <c r="G124" s="448">
        <v>0.1</v>
      </c>
      <c r="H124" s="448">
        <v>-0.1</v>
      </c>
      <c r="I124" s="534">
        <v>1.5</v>
      </c>
      <c r="J124" s="534">
        <v>2</v>
      </c>
      <c r="K124" s="535">
        <v>42674</v>
      </c>
      <c r="L124" s="515" t="s">
        <v>347</v>
      </c>
      <c r="O124" s="395"/>
      <c r="P124" s="415" t="s">
        <v>380</v>
      </c>
      <c r="Q124" s="423" t="s">
        <v>381</v>
      </c>
      <c r="R124" s="423" t="s">
        <v>382</v>
      </c>
      <c r="S124" s="516" t="s">
        <v>394</v>
      </c>
      <c r="T124" s="519" t="s">
        <v>395</v>
      </c>
      <c r="U124" s="287"/>
      <c r="V124" s="287"/>
    </row>
    <row r="125" spans="1:50" ht="30" customHeight="1" x14ac:dyDescent="0.2">
      <c r="A125" s="550"/>
      <c r="B125" s="551"/>
      <c r="C125" s="501"/>
      <c r="D125" s="530"/>
      <c r="E125" s="483"/>
      <c r="F125" s="449">
        <v>20.100000000000001</v>
      </c>
      <c r="G125" s="449">
        <v>0.1</v>
      </c>
      <c r="H125" s="449">
        <v>-0.1</v>
      </c>
      <c r="I125" s="525"/>
      <c r="J125" s="525"/>
      <c r="K125" s="525"/>
      <c r="L125" s="504" t="s">
        <v>346</v>
      </c>
      <c r="O125" s="480" t="s">
        <v>408</v>
      </c>
      <c r="P125" s="411">
        <f>I124</f>
        <v>1.5</v>
      </c>
      <c r="Q125" s="412">
        <f>I127</f>
        <v>1.6</v>
      </c>
      <c r="R125" s="412">
        <f>I130</f>
        <v>0.21</v>
      </c>
      <c r="S125" s="517"/>
      <c r="T125" s="520"/>
      <c r="U125" s="287"/>
      <c r="V125" s="287"/>
    </row>
    <row r="126" spans="1:50" ht="30" customHeight="1" thickBot="1" x14ac:dyDescent="0.25">
      <c r="A126" s="552"/>
      <c r="B126" s="553"/>
      <c r="C126" s="501"/>
      <c r="D126" s="530"/>
      <c r="E126" s="483"/>
      <c r="F126" s="449">
        <v>24.4</v>
      </c>
      <c r="G126" s="455">
        <v>0.1</v>
      </c>
      <c r="H126" s="449">
        <v>0.1</v>
      </c>
      <c r="I126" s="525"/>
      <c r="J126" s="525"/>
      <c r="K126" s="525"/>
      <c r="L126" s="504"/>
      <c r="O126" s="481"/>
      <c r="P126" s="413"/>
      <c r="Q126" s="414"/>
      <c r="R126" s="414"/>
      <c r="S126" s="518"/>
      <c r="T126" s="521"/>
      <c r="U126" s="287"/>
      <c r="V126" s="287"/>
    </row>
    <row r="127" spans="1:50" ht="30" customHeight="1" x14ac:dyDescent="0.2">
      <c r="A127" s="542" t="s">
        <v>384</v>
      </c>
      <c r="B127" s="543"/>
      <c r="C127" s="501"/>
      <c r="D127" s="530"/>
      <c r="E127" s="483"/>
      <c r="F127" s="449">
        <v>39.5</v>
      </c>
      <c r="G127" s="449">
        <v>0.1</v>
      </c>
      <c r="H127" s="449">
        <v>0.79</v>
      </c>
      <c r="I127" s="524">
        <v>1.6</v>
      </c>
      <c r="J127" s="524">
        <v>2</v>
      </c>
      <c r="K127" s="535">
        <v>42674</v>
      </c>
      <c r="L127" s="503" t="s">
        <v>346</v>
      </c>
      <c r="O127" s="287"/>
      <c r="P127" s="287"/>
      <c r="Q127" s="287"/>
      <c r="R127" s="287"/>
      <c r="T127" s="342"/>
      <c r="U127" s="287"/>
      <c r="V127" s="287"/>
    </row>
    <row r="128" spans="1:50" ht="30" customHeight="1" x14ac:dyDescent="0.2">
      <c r="A128" s="544"/>
      <c r="B128" s="545"/>
      <c r="C128" s="501"/>
      <c r="D128" s="530"/>
      <c r="E128" s="483"/>
      <c r="F128" s="449">
        <v>49.8</v>
      </c>
      <c r="G128" s="449">
        <v>0.1</v>
      </c>
      <c r="H128" s="449">
        <v>0.63</v>
      </c>
      <c r="I128" s="525">
        <v>1.6</v>
      </c>
      <c r="J128" s="525">
        <v>2</v>
      </c>
      <c r="K128" s="525"/>
      <c r="L128" s="504" t="s">
        <v>347</v>
      </c>
      <c r="O128" s="287"/>
      <c r="P128" s="287"/>
      <c r="Q128" s="287"/>
      <c r="R128" s="287"/>
      <c r="T128" s="342"/>
      <c r="U128" s="287"/>
      <c r="V128" s="287"/>
    </row>
    <row r="129" spans="1:22" ht="30" customHeight="1" thickBot="1" x14ac:dyDescent="0.25">
      <c r="A129" s="546"/>
      <c r="B129" s="547"/>
      <c r="C129" s="501"/>
      <c r="D129" s="530"/>
      <c r="E129" s="483"/>
      <c r="F129" s="449">
        <v>59.3</v>
      </c>
      <c r="G129" s="449">
        <v>0.1</v>
      </c>
      <c r="H129" s="449">
        <v>-0.13</v>
      </c>
      <c r="I129" s="525"/>
      <c r="J129" s="525"/>
      <c r="K129" s="525"/>
      <c r="L129" s="504"/>
      <c r="O129" s="287"/>
      <c r="P129" s="287"/>
      <c r="Q129" s="287"/>
      <c r="R129" s="287"/>
      <c r="T129" s="342"/>
      <c r="U129" s="287"/>
      <c r="V129" s="287"/>
    </row>
    <row r="130" spans="1:22" ht="30" customHeight="1" x14ac:dyDescent="0.2">
      <c r="A130" s="542" t="s">
        <v>391</v>
      </c>
      <c r="B130" s="543"/>
      <c r="C130" s="501"/>
      <c r="D130" s="530"/>
      <c r="E130" s="483"/>
      <c r="F130" s="450">
        <v>499</v>
      </c>
      <c r="G130" s="449">
        <v>0.1</v>
      </c>
      <c r="H130" s="450">
        <v>-1</v>
      </c>
      <c r="I130" s="524">
        <v>0.21</v>
      </c>
      <c r="J130" s="524">
        <v>2</v>
      </c>
      <c r="K130" s="526">
        <v>42671</v>
      </c>
      <c r="L130" s="503" t="s">
        <v>348</v>
      </c>
      <c r="O130" s="287"/>
      <c r="P130" s="287"/>
      <c r="Q130" s="287"/>
      <c r="R130" s="287"/>
      <c r="T130" s="342"/>
      <c r="U130" s="287"/>
      <c r="V130" s="287"/>
    </row>
    <row r="131" spans="1:22" ht="30" customHeight="1" x14ac:dyDescent="0.2">
      <c r="A131" s="544"/>
      <c r="B131" s="545"/>
      <c r="C131" s="501"/>
      <c r="D131" s="530"/>
      <c r="E131" s="483"/>
      <c r="F131" s="449">
        <v>799.8</v>
      </c>
      <c r="G131" s="449">
        <v>0.1</v>
      </c>
      <c r="H131" s="450">
        <v>-0.4</v>
      </c>
      <c r="I131" s="525">
        <v>0.17</v>
      </c>
      <c r="J131" s="525">
        <v>2</v>
      </c>
      <c r="K131" s="525">
        <v>42671</v>
      </c>
      <c r="L131" s="504" t="s">
        <v>348</v>
      </c>
      <c r="O131" s="287"/>
      <c r="P131" s="287"/>
      <c r="Q131" s="287"/>
      <c r="R131" s="287"/>
      <c r="T131" s="342"/>
      <c r="U131" s="287"/>
      <c r="V131" s="287"/>
    </row>
    <row r="132" spans="1:22" ht="30" customHeight="1" thickBot="1" x14ac:dyDescent="0.25">
      <c r="A132" s="546"/>
      <c r="B132" s="547"/>
      <c r="C132" s="502"/>
      <c r="D132" s="531"/>
      <c r="E132" s="484"/>
      <c r="F132" s="452">
        <v>1099.9000000000001</v>
      </c>
      <c r="G132" s="452">
        <v>0.1</v>
      </c>
      <c r="H132" s="459">
        <v>-0.3</v>
      </c>
      <c r="I132" s="538"/>
      <c r="J132" s="538"/>
      <c r="K132" s="538"/>
      <c r="L132" s="505"/>
      <c r="O132" s="287"/>
      <c r="P132" s="287"/>
      <c r="Q132" s="287"/>
      <c r="R132" s="287"/>
      <c r="T132" s="342"/>
      <c r="U132" s="287"/>
      <c r="V132" s="287"/>
    </row>
    <row r="133" spans="1:22" ht="30" customHeight="1" thickBot="1" x14ac:dyDescent="0.25">
      <c r="A133" s="419"/>
      <c r="B133" s="430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O133" s="287"/>
      <c r="P133" s="287"/>
      <c r="Q133" s="287"/>
      <c r="R133" s="287"/>
      <c r="T133" s="342"/>
      <c r="U133" s="287"/>
      <c r="V133" s="287"/>
    </row>
    <row r="134" spans="1:22" ht="30" customHeight="1" x14ac:dyDescent="0.2">
      <c r="A134" s="527" t="s">
        <v>383</v>
      </c>
      <c r="B134" s="528"/>
      <c r="C134" s="485" t="s">
        <v>396</v>
      </c>
      <c r="D134" s="528" t="s">
        <v>309</v>
      </c>
      <c r="E134" s="482" t="s">
        <v>342</v>
      </c>
      <c r="F134" s="448">
        <v>18.100000000000001</v>
      </c>
      <c r="G134" s="449">
        <v>0.1</v>
      </c>
      <c r="H134" s="454">
        <v>0</v>
      </c>
      <c r="I134" s="532">
        <v>0.2</v>
      </c>
      <c r="J134" s="534">
        <v>1.96</v>
      </c>
      <c r="K134" s="535">
        <v>42580</v>
      </c>
      <c r="L134" s="515" t="s">
        <v>397</v>
      </c>
      <c r="O134" s="395"/>
      <c r="P134" s="415" t="s">
        <v>380</v>
      </c>
      <c r="Q134" s="423" t="s">
        <v>381</v>
      </c>
      <c r="R134" s="423" t="s">
        <v>382</v>
      </c>
      <c r="S134" s="516" t="s">
        <v>389</v>
      </c>
      <c r="T134" s="519" t="s">
        <v>398</v>
      </c>
      <c r="U134" s="287"/>
      <c r="V134" s="287"/>
    </row>
    <row r="135" spans="1:22" ht="30" customHeight="1" x14ac:dyDescent="0.2">
      <c r="A135" s="529"/>
      <c r="B135" s="530"/>
      <c r="C135" s="483"/>
      <c r="D135" s="530"/>
      <c r="E135" s="483"/>
      <c r="F135" s="449">
        <v>20.100000000000001</v>
      </c>
      <c r="G135" s="449">
        <v>0.1</v>
      </c>
      <c r="H135" s="450">
        <v>0</v>
      </c>
      <c r="I135" s="533"/>
      <c r="J135" s="525"/>
      <c r="K135" s="525"/>
      <c r="L135" s="504"/>
      <c r="O135" s="480" t="s">
        <v>376</v>
      </c>
      <c r="P135" s="447">
        <f>I134</f>
        <v>0.2</v>
      </c>
      <c r="Q135" s="412">
        <f>I137</f>
        <v>1.7</v>
      </c>
      <c r="R135" s="412">
        <f>I140</f>
        <v>6.4000000000000001E-2</v>
      </c>
      <c r="S135" s="517"/>
      <c r="T135" s="520"/>
      <c r="U135" s="287"/>
      <c r="V135" s="287"/>
    </row>
    <row r="136" spans="1:22" ht="30" customHeight="1" thickBot="1" x14ac:dyDescent="0.25">
      <c r="A136" s="529"/>
      <c r="B136" s="530"/>
      <c r="C136" s="483"/>
      <c r="D136" s="530"/>
      <c r="E136" s="483"/>
      <c r="F136" s="450">
        <v>22</v>
      </c>
      <c r="G136" s="449">
        <v>0.1</v>
      </c>
      <c r="H136" s="450">
        <v>0</v>
      </c>
      <c r="I136" s="533">
        <v>0.2</v>
      </c>
      <c r="J136" s="525">
        <v>1.96</v>
      </c>
      <c r="K136" s="525">
        <v>42580</v>
      </c>
      <c r="L136" s="504" t="s">
        <v>343</v>
      </c>
      <c r="O136" s="481"/>
      <c r="P136" s="413"/>
      <c r="Q136" s="414"/>
      <c r="R136" s="414"/>
      <c r="S136" s="518"/>
      <c r="T136" s="521"/>
      <c r="U136" s="287"/>
      <c r="V136" s="287"/>
    </row>
    <row r="137" spans="1:22" ht="30" customHeight="1" x14ac:dyDescent="0.2">
      <c r="A137" s="522" t="s">
        <v>384</v>
      </c>
      <c r="B137" s="523"/>
      <c r="C137" s="483"/>
      <c r="D137" s="530"/>
      <c r="E137" s="483"/>
      <c r="F137" s="449">
        <v>41.8</v>
      </c>
      <c r="G137" s="449">
        <v>0.1</v>
      </c>
      <c r="H137" s="449">
        <v>-1.8</v>
      </c>
      <c r="I137" s="524">
        <v>1.7</v>
      </c>
      <c r="J137" s="524">
        <v>1.96</v>
      </c>
      <c r="K137" s="526">
        <v>42586</v>
      </c>
      <c r="L137" s="503" t="s">
        <v>399</v>
      </c>
      <c r="O137" s="287"/>
      <c r="P137" s="287"/>
      <c r="Q137" s="287"/>
      <c r="R137" s="287"/>
      <c r="T137" s="342"/>
      <c r="U137" s="287"/>
      <c r="V137" s="287"/>
    </row>
    <row r="138" spans="1:22" ht="30" customHeight="1" x14ac:dyDescent="0.2">
      <c r="A138" s="522"/>
      <c r="B138" s="523"/>
      <c r="C138" s="483"/>
      <c r="D138" s="530"/>
      <c r="E138" s="483"/>
      <c r="F138" s="449">
        <v>50.6</v>
      </c>
      <c r="G138" s="449">
        <v>0.1</v>
      </c>
      <c r="H138" s="449">
        <v>-0.6</v>
      </c>
      <c r="I138" s="525">
        <v>1.7</v>
      </c>
      <c r="J138" s="525">
        <v>1.96</v>
      </c>
      <c r="K138" s="525">
        <v>42586</v>
      </c>
      <c r="L138" s="504" t="s">
        <v>344</v>
      </c>
      <c r="O138" s="287"/>
      <c r="P138" s="287"/>
      <c r="Q138" s="287"/>
      <c r="R138" s="287"/>
      <c r="T138" s="342"/>
      <c r="U138" s="287"/>
      <c r="V138" s="287"/>
    </row>
    <row r="139" spans="1:22" ht="30" customHeight="1" x14ac:dyDescent="0.2">
      <c r="A139" s="522"/>
      <c r="B139" s="523"/>
      <c r="C139" s="483"/>
      <c r="D139" s="530"/>
      <c r="E139" s="483"/>
      <c r="F139" s="449">
        <v>59.4</v>
      </c>
      <c r="G139" s="449">
        <v>0.1</v>
      </c>
      <c r="H139" s="449">
        <v>0.6</v>
      </c>
      <c r="I139" s="525"/>
      <c r="J139" s="525"/>
      <c r="K139" s="525"/>
      <c r="L139" s="504"/>
      <c r="O139" s="287"/>
      <c r="P139" s="287"/>
      <c r="Q139" s="287"/>
      <c r="R139" s="287"/>
      <c r="T139" s="342"/>
      <c r="U139" s="287"/>
      <c r="V139" s="287"/>
    </row>
    <row r="140" spans="1:22" ht="30" customHeight="1" x14ac:dyDescent="0.2">
      <c r="A140" s="522" t="s">
        <v>391</v>
      </c>
      <c r="B140" s="523"/>
      <c r="C140" s="483"/>
      <c r="D140" s="530"/>
      <c r="E140" s="483"/>
      <c r="F140" s="449">
        <v>397.9</v>
      </c>
      <c r="G140" s="449">
        <v>0.1</v>
      </c>
      <c r="H140" s="449">
        <v>-1.3</v>
      </c>
      <c r="I140" s="524">
        <v>6.4000000000000001E-2</v>
      </c>
      <c r="J140" s="539">
        <v>2</v>
      </c>
      <c r="K140" s="526">
        <v>42625</v>
      </c>
      <c r="L140" s="503" t="s">
        <v>400</v>
      </c>
      <c r="O140" s="287"/>
      <c r="P140" s="287"/>
      <c r="Q140" s="287"/>
      <c r="R140" s="287"/>
      <c r="T140" s="288"/>
    </row>
    <row r="141" spans="1:22" ht="30" customHeight="1" x14ac:dyDescent="0.2">
      <c r="A141" s="522"/>
      <c r="B141" s="523"/>
      <c r="C141" s="483"/>
      <c r="D141" s="530"/>
      <c r="E141" s="483"/>
      <c r="F141" s="449">
        <v>753.2</v>
      </c>
      <c r="G141" s="449">
        <v>0.1</v>
      </c>
      <c r="H141" s="451">
        <v>-0.64100000000000001</v>
      </c>
      <c r="I141" s="525">
        <v>6.4000000000000001E-2</v>
      </c>
      <c r="J141" s="540">
        <v>2</v>
      </c>
      <c r="K141" s="525">
        <v>42625</v>
      </c>
      <c r="L141" s="504" t="s">
        <v>345</v>
      </c>
      <c r="O141" s="287"/>
      <c r="P141" s="287"/>
      <c r="Q141" s="287"/>
      <c r="R141" s="287"/>
      <c r="T141" s="288"/>
    </row>
    <row r="142" spans="1:22" ht="30" customHeight="1" thickBot="1" x14ac:dyDescent="0.25">
      <c r="A142" s="536"/>
      <c r="B142" s="537"/>
      <c r="C142" s="484"/>
      <c r="D142" s="531"/>
      <c r="E142" s="484"/>
      <c r="F142" s="452">
        <v>1099.3</v>
      </c>
      <c r="G142" s="449">
        <v>0.1</v>
      </c>
      <c r="H142" s="452">
        <v>-0.06</v>
      </c>
      <c r="I142" s="538"/>
      <c r="J142" s="541"/>
      <c r="K142" s="538"/>
      <c r="L142" s="505"/>
      <c r="O142" s="287"/>
      <c r="P142" s="287"/>
      <c r="Q142" s="287"/>
      <c r="R142" s="287"/>
      <c r="T142" s="288"/>
    </row>
    <row r="143" spans="1:22" ht="30" customHeight="1" thickBot="1" x14ac:dyDescent="0.25">
      <c r="A143" s="420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288"/>
      <c r="O143" s="287"/>
      <c r="P143" s="287"/>
      <c r="Q143" s="287"/>
      <c r="R143" s="287"/>
      <c r="T143" s="288"/>
    </row>
    <row r="144" spans="1:22" ht="30" customHeight="1" x14ac:dyDescent="0.2">
      <c r="A144" s="527" t="s">
        <v>383</v>
      </c>
      <c r="B144" s="528"/>
      <c r="C144" s="485" t="s">
        <v>401</v>
      </c>
      <c r="D144" s="528" t="s">
        <v>309</v>
      </c>
      <c r="E144" s="494" t="s">
        <v>338</v>
      </c>
      <c r="F144" s="448">
        <v>18.2</v>
      </c>
      <c r="G144" s="448">
        <v>0.1</v>
      </c>
      <c r="H144" s="448">
        <v>0</v>
      </c>
      <c r="I144" s="532">
        <v>0.2</v>
      </c>
      <c r="J144" s="534">
        <v>1.96</v>
      </c>
      <c r="K144" s="535">
        <v>42586</v>
      </c>
      <c r="L144" s="515" t="s">
        <v>402</v>
      </c>
      <c r="O144" s="395"/>
      <c r="P144" s="415" t="s">
        <v>380</v>
      </c>
      <c r="Q144" s="423" t="s">
        <v>381</v>
      </c>
      <c r="R144" s="423" t="s">
        <v>382</v>
      </c>
      <c r="S144" s="516" t="s">
        <v>403</v>
      </c>
      <c r="T144" s="519" t="s">
        <v>404</v>
      </c>
    </row>
    <row r="145" spans="1:20" ht="30" customHeight="1" x14ac:dyDescent="0.2">
      <c r="A145" s="529"/>
      <c r="B145" s="530"/>
      <c r="C145" s="483"/>
      <c r="D145" s="530"/>
      <c r="E145" s="483"/>
      <c r="F145" s="450">
        <v>20</v>
      </c>
      <c r="G145" s="449">
        <v>0.1</v>
      </c>
      <c r="H145" s="449">
        <v>0.1</v>
      </c>
      <c r="I145" s="533"/>
      <c r="J145" s="525"/>
      <c r="K145" s="525">
        <v>42586</v>
      </c>
      <c r="L145" s="504" t="s">
        <v>340</v>
      </c>
      <c r="O145" s="480" t="s">
        <v>409</v>
      </c>
      <c r="P145" s="447">
        <f>I144</f>
        <v>0.2</v>
      </c>
      <c r="Q145" s="412">
        <f>I147</f>
        <v>1.7</v>
      </c>
      <c r="R145" s="412">
        <f>I150</f>
        <v>6.4000000000000001E-2</v>
      </c>
      <c r="S145" s="517"/>
      <c r="T145" s="520"/>
    </row>
    <row r="146" spans="1:20" ht="30" customHeight="1" thickBot="1" x14ac:dyDescent="0.25">
      <c r="A146" s="529"/>
      <c r="B146" s="530"/>
      <c r="C146" s="483"/>
      <c r="D146" s="530"/>
      <c r="E146" s="483"/>
      <c r="F146" s="450">
        <v>22</v>
      </c>
      <c r="G146" s="449">
        <v>0.1</v>
      </c>
      <c r="H146" s="450">
        <v>0</v>
      </c>
      <c r="I146" s="533"/>
      <c r="J146" s="525"/>
      <c r="K146" s="525">
        <v>42625</v>
      </c>
      <c r="L146" s="504" t="s">
        <v>341</v>
      </c>
      <c r="O146" s="481"/>
      <c r="P146" s="413"/>
      <c r="Q146" s="414"/>
      <c r="R146" s="414"/>
      <c r="S146" s="518"/>
      <c r="T146" s="521"/>
    </row>
    <row r="147" spans="1:20" ht="30" customHeight="1" x14ac:dyDescent="0.2">
      <c r="A147" s="522" t="s">
        <v>384</v>
      </c>
      <c r="B147" s="523"/>
      <c r="C147" s="483"/>
      <c r="D147" s="530"/>
      <c r="E147" s="483"/>
      <c r="F147" s="449">
        <v>41.8</v>
      </c>
      <c r="G147" s="449">
        <v>0.1</v>
      </c>
      <c r="H147" s="449">
        <v>-1.8</v>
      </c>
      <c r="I147" s="524">
        <v>1.7</v>
      </c>
      <c r="J147" s="524">
        <v>1.96</v>
      </c>
      <c r="K147" s="526">
        <v>42586</v>
      </c>
      <c r="L147" s="503" t="s">
        <v>405</v>
      </c>
      <c r="O147" s="287"/>
      <c r="P147" s="287"/>
      <c r="Q147" s="287"/>
      <c r="R147" s="287"/>
      <c r="T147" s="288"/>
    </row>
    <row r="148" spans="1:20" ht="30" customHeight="1" x14ac:dyDescent="0.2">
      <c r="A148" s="522"/>
      <c r="B148" s="523"/>
      <c r="C148" s="483"/>
      <c r="D148" s="530"/>
      <c r="E148" s="483"/>
      <c r="F148" s="449">
        <v>50.5</v>
      </c>
      <c r="G148" s="449">
        <v>0.1</v>
      </c>
      <c r="H148" s="449">
        <v>-0.5</v>
      </c>
      <c r="I148" s="525"/>
      <c r="J148" s="525"/>
      <c r="K148" s="525">
        <v>42586</v>
      </c>
      <c r="L148" s="504" t="s">
        <v>340</v>
      </c>
      <c r="O148" s="287"/>
      <c r="P148" s="287"/>
      <c r="Q148" s="287"/>
      <c r="R148" s="287"/>
      <c r="T148" s="288"/>
    </row>
    <row r="149" spans="1:20" ht="30" customHeight="1" x14ac:dyDescent="0.2">
      <c r="A149" s="522"/>
      <c r="B149" s="523"/>
      <c r="C149" s="483"/>
      <c r="D149" s="530"/>
      <c r="E149" s="483"/>
      <c r="F149" s="449">
        <v>59.3</v>
      </c>
      <c r="G149" s="449">
        <v>0.1</v>
      </c>
      <c r="H149" s="449">
        <v>0.7</v>
      </c>
      <c r="I149" s="525"/>
      <c r="J149" s="525"/>
      <c r="K149" s="525">
        <v>42625</v>
      </c>
      <c r="L149" s="504" t="s">
        <v>341</v>
      </c>
      <c r="O149" s="287"/>
      <c r="P149" s="287"/>
      <c r="Q149" s="287"/>
      <c r="R149" s="287"/>
      <c r="T149" s="288"/>
    </row>
    <row r="150" spans="1:20" ht="30" customHeight="1" x14ac:dyDescent="0.2">
      <c r="A150" s="522" t="s">
        <v>391</v>
      </c>
      <c r="B150" s="523"/>
      <c r="C150" s="483"/>
      <c r="D150" s="530"/>
      <c r="E150" s="483"/>
      <c r="F150" s="450">
        <v>397.9</v>
      </c>
      <c r="G150" s="449">
        <v>0.1</v>
      </c>
      <c r="H150" s="449">
        <v>-1.34</v>
      </c>
      <c r="I150" s="524">
        <v>6.4000000000000001E-2</v>
      </c>
      <c r="J150" s="539">
        <v>1.96</v>
      </c>
      <c r="K150" s="526">
        <v>42625</v>
      </c>
      <c r="L150" s="503" t="s">
        <v>406</v>
      </c>
      <c r="O150" s="288"/>
      <c r="T150" s="288"/>
    </row>
    <row r="151" spans="1:20" ht="30" customHeight="1" x14ac:dyDescent="0.2">
      <c r="A151" s="522"/>
      <c r="B151" s="523"/>
      <c r="C151" s="483"/>
      <c r="D151" s="530"/>
      <c r="E151" s="483"/>
      <c r="F151" s="449">
        <v>753.2</v>
      </c>
      <c r="G151" s="449">
        <v>0.1</v>
      </c>
      <c r="H151" s="451">
        <v>-0.64100000000000001</v>
      </c>
      <c r="I151" s="525">
        <v>1.7</v>
      </c>
      <c r="J151" s="540">
        <v>1.96</v>
      </c>
      <c r="K151" s="525">
        <v>42586</v>
      </c>
      <c r="L151" s="504" t="s">
        <v>340</v>
      </c>
      <c r="O151" s="288"/>
      <c r="T151" s="288"/>
    </row>
    <row r="152" spans="1:20" ht="30" customHeight="1" thickBot="1" x14ac:dyDescent="0.25">
      <c r="A152" s="536"/>
      <c r="B152" s="537"/>
      <c r="C152" s="484"/>
      <c r="D152" s="531"/>
      <c r="E152" s="484"/>
      <c r="F152" s="452">
        <v>1099.2</v>
      </c>
      <c r="G152" s="452">
        <v>0.1</v>
      </c>
      <c r="H152" s="452">
        <v>-0.54</v>
      </c>
      <c r="I152" s="538">
        <v>6.4000000000000001E-2</v>
      </c>
      <c r="J152" s="541">
        <v>2</v>
      </c>
      <c r="K152" s="538">
        <v>42625</v>
      </c>
      <c r="L152" s="505" t="s">
        <v>341</v>
      </c>
      <c r="O152" s="288"/>
      <c r="T152" s="288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506" t="s">
        <v>286</v>
      </c>
      <c r="E155" s="507"/>
      <c r="F155" s="507"/>
      <c r="G155" s="507"/>
      <c r="H155" s="508"/>
      <c r="J155" s="495" t="s">
        <v>321</v>
      </c>
      <c r="K155" s="496"/>
      <c r="L155" s="496"/>
      <c r="M155" s="496"/>
    </row>
    <row r="156" spans="1:20" ht="30" customHeight="1" thickBot="1" x14ac:dyDescent="0.25">
      <c r="D156" s="509"/>
      <c r="E156" s="510"/>
      <c r="F156" s="510"/>
      <c r="G156" s="510"/>
      <c r="H156" s="511"/>
      <c r="J156" s="497" t="s">
        <v>243</v>
      </c>
      <c r="K156" s="498"/>
      <c r="L156" s="498"/>
      <c r="M156" s="499"/>
    </row>
    <row r="157" spans="1:20" ht="30" customHeight="1" x14ac:dyDescent="0.2">
      <c r="D157" s="389" t="s">
        <v>189</v>
      </c>
      <c r="E157" s="512" t="s">
        <v>287</v>
      </c>
      <c r="F157" s="513"/>
      <c r="G157" s="513"/>
      <c r="H157" s="514"/>
      <c r="J157" s="362">
        <v>5</v>
      </c>
      <c r="K157" s="363" t="s">
        <v>245</v>
      </c>
      <c r="L157" s="364">
        <v>8200</v>
      </c>
      <c r="M157" s="329"/>
    </row>
    <row r="158" spans="1:20" ht="30" customHeight="1" thickBot="1" x14ac:dyDescent="0.25">
      <c r="D158" s="424"/>
      <c r="E158" s="425"/>
      <c r="F158" s="426"/>
      <c r="G158" s="426"/>
      <c r="H158" s="427"/>
      <c r="J158" s="362"/>
      <c r="K158" s="358"/>
      <c r="L158" s="358"/>
      <c r="M158" s="360"/>
    </row>
    <row r="159" spans="1:20" ht="30" customHeight="1" x14ac:dyDescent="0.2">
      <c r="D159" s="365" t="s">
        <v>288</v>
      </c>
      <c r="E159" s="373" t="s">
        <v>289</v>
      </c>
      <c r="F159" s="374"/>
      <c r="G159" s="374" t="s">
        <v>290</v>
      </c>
      <c r="H159" s="375"/>
      <c r="J159" s="362"/>
      <c r="K159" s="358"/>
      <c r="L159" s="358"/>
      <c r="M159" s="360"/>
    </row>
    <row r="160" spans="1:20" ht="30" customHeight="1" x14ac:dyDescent="0.2">
      <c r="B160" s="287" t="str">
        <f>IF('RT03-F39'!F134&lt;=(DATOS!I151),"")</f>
        <v/>
      </c>
      <c r="D160" s="365" t="s">
        <v>291</v>
      </c>
      <c r="E160" s="373" t="s">
        <v>292</v>
      </c>
      <c r="F160" s="374"/>
      <c r="G160" s="374" t="s">
        <v>293</v>
      </c>
      <c r="H160" s="375"/>
      <c r="J160" s="362"/>
      <c r="K160" s="359"/>
      <c r="L160" s="358"/>
      <c r="M160" s="360"/>
    </row>
    <row r="161" spans="4:13" ht="30" customHeight="1" x14ac:dyDescent="0.2">
      <c r="D161" s="365" t="s">
        <v>294</v>
      </c>
      <c r="E161" s="373" t="s">
        <v>295</v>
      </c>
      <c r="F161" s="374"/>
      <c r="G161" s="374" t="s">
        <v>296</v>
      </c>
      <c r="H161" s="375"/>
      <c r="J161" s="362"/>
      <c r="K161" s="367"/>
      <c r="L161" s="368"/>
      <c r="M161" s="369"/>
    </row>
    <row r="162" spans="4:13" ht="30" customHeight="1" thickBot="1" x14ac:dyDescent="0.25">
      <c r="D162" s="366" t="s">
        <v>297</v>
      </c>
      <c r="E162" s="376" t="s">
        <v>298</v>
      </c>
      <c r="F162" s="377"/>
      <c r="G162" s="378" t="s">
        <v>299</v>
      </c>
      <c r="H162" s="379"/>
      <c r="J162" s="362"/>
      <c r="K162" s="367"/>
      <c r="L162" s="367"/>
      <c r="M162" s="369"/>
    </row>
    <row r="163" spans="4:13" ht="30" customHeight="1" thickBot="1" x14ac:dyDescent="0.25">
      <c r="J163" s="396"/>
      <c r="K163" s="371"/>
      <c r="L163" s="397"/>
      <c r="M163" s="372"/>
    </row>
    <row r="164" spans="4:13" ht="30" customHeight="1" x14ac:dyDescent="0.2"/>
    <row r="165" spans="4:13" ht="30" customHeight="1" x14ac:dyDescent="0.2"/>
    <row r="199" spans="64:67" ht="35.1" customHeight="1" x14ac:dyDescent="0.25">
      <c r="BL199" s="380"/>
      <c r="BM199" s="380"/>
      <c r="BN199" s="380"/>
      <c r="BO199" s="380"/>
    </row>
    <row r="200" spans="64:67" ht="35.1" customHeight="1" x14ac:dyDescent="0.25">
      <c r="BL200" s="380"/>
      <c r="BM200" s="380"/>
      <c r="BN200" s="380"/>
      <c r="BO200" s="380"/>
    </row>
    <row r="201" spans="64:67" ht="35.1" customHeight="1" x14ac:dyDescent="0.25">
      <c r="BL201" s="380"/>
      <c r="BM201" s="380"/>
      <c r="BN201" s="380"/>
      <c r="BO201" s="380"/>
    </row>
    <row r="202" spans="64:67" ht="35.1" customHeight="1" x14ac:dyDescent="0.25">
      <c r="BL202" s="380"/>
      <c r="BM202" s="380"/>
      <c r="BN202" s="380"/>
      <c r="BO202" s="380"/>
    </row>
  </sheetData>
  <sheetProtection algorithmName="SHA-512" hashValue="CaNjTnuZY01TcQLBLXgDMu8SoCZgFp9pAlmJ7IABNxmDtnJdg9XBfNxsoPUG8QRaQnCrW2cPGoEO2Ufk9SHrQw==" saltValue="ncavdZzcGxdHdv1hIowrhQ==" spinCount="100000" sheet="1" objects="1" scenarios="1"/>
  <mergeCells count="166"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96:T97"/>
    <mergeCell ref="C98:T98"/>
    <mergeCell ref="D99:D100"/>
    <mergeCell ref="E99:E100"/>
    <mergeCell ref="F99:F100"/>
    <mergeCell ref="G99:G100"/>
    <mergeCell ref="H99:H100"/>
    <mergeCell ref="I99:I100"/>
    <mergeCell ref="A102:B104"/>
    <mergeCell ref="J99:J100"/>
    <mergeCell ref="K99:K100"/>
    <mergeCell ref="L99:L100"/>
    <mergeCell ref="O99:O100"/>
    <mergeCell ref="P99:R100"/>
    <mergeCell ref="C102:C110"/>
    <mergeCell ref="O103:O104"/>
    <mergeCell ref="E102:E110"/>
    <mergeCell ref="S102:S104"/>
    <mergeCell ref="T102:T104"/>
    <mergeCell ref="D102:D110"/>
    <mergeCell ref="L102:L104"/>
    <mergeCell ref="L105:L107"/>
    <mergeCell ref="L108:L110"/>
    <mergeCell ref="K102:K104"/>
    <mergeCell ref="A119:B121"/>
    <mergeCell ref="S99:S100"/>
    <mergeCell ref="T99:T100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I108:I110"/>
    <mergeCell ref="J102:J104"/>
    <mergeCell ref="J105:J107"/>
    <mergeCell ref="J108:J110"/>
    <mergeCell ref="A105:B107"/>
    <mergeCell ref="K105:K107"/>
    <mergeCell ref="K108:K110"/>
    <mergeCell ref="I105:I107"/>
    <mergeCell ref="I102:I104"/>
    <mergeCell ref="S124:S126"/>
    <mergeCell ref="T124:T126"/>
    <mergeCell ref="A127:B129"/>
    <mergeCell ref="I127:I129"/>
    <mergeCell ref="J127:J129"/>
    <mergeCell ref="K127:K129"/>
    <mergeCell ref="L127:L129"/>
    <mergeCell ref="A124:B126"/>
    <mergeCell ref="D124:D132"/>
    <mergeCell ref="I124:I126"/>
    <mergeCell ref="J124:J126"/>
    <mergeCell ref="K124:K126"/>
    <mergeCell ref="A130:B132"/>
    <mergeCell ref="I130:I132"/>
    <mergeCell ref="J130:J132"/>
    <mergeCell ref="K130:K132"/>
    <mergeCell ref="S134:S136"/>
    <mergeCell ref="T134:T136"/>
    <mergeCell ref="A137:B139"/>
    <mergeCell ref="I137:I139"/>
    <mergeCell ref="J137:J139"/>
    <mergeCell ref="K137:K139"/>
    <mergeCell ref="L137:L139"/>
    <mergeCell ref="L130:L132"/>
    <mergeCell ref="A134:B136"/>
    <mergeCell ref="D134:D142"/>
    <mergeCell ref="I134:I136"/>
    <mergeCell ref="J134:J136"/>
    <mergeCell ref="K134:K136"/>
    <mergeCell ref="L134:L136"/>
    <mergeCell ref="A140:B142"/>
    <mergeCell ref="I140:I142"/>
    <mergeCell ref="J140:J142"/>
    <mergeCell ref="K140:K142"/>
    <mergeCell ref="L140:L142"/>
    <mergeCell ref="S144:S146"/>
    <mergeCell ref="T144:T146"/>
    <mergeCell ref="A147:B149"/>
    <mergeCell ref="I147:I149"/>
    <mergeCell ref="J147:J149"/>
    <mergeCell ref="K147:K149"/>
    <mergeCell ref="L147:L149"/>
    <mergeCell ref="A144:B146"/>
    <mergeCell ref="D144:D152"/>
    <mergeCell ref="I144:I146"/>
    <mergeCell ref="J144:J146"/>
    <mergeCell ref="K144:K146"/>
    <mergeCell ref="A150:B152"/>
    <mergeCell ref="I150:I152"/>
    <mergeCell ref="J150:J152"/>
    <mergeCell ref="K150:K152"/>
    <mergeCell ref="J155:M155"/>
    <mergeCell ref="J156:M156"/>
    <mergeCell ref="C113:C121"/>
    <mergeCell ref="C124:C132"/>
    <mergeCell ref="C134:C142"/>
    <mergeCell ref="C144:C152"/>
    <mergeCell ref="L150:L152"/>
    <mergeCell ref="D155:H156"/>
    <mergeCell ref="E157:H157"/>
    <mergeCell ref="L144:L146"/>
    <mergeCell ref="L124:L126"/>
    <mergeCell ref="O114:O115"/>
    <mergeCell ref="O125:O126"/>
    <mergeCell ref="O135:O136"/>
    <mergeCell ref="O145:O146"/>
    <mergeCell ref="E113:E121"/>
    <mergeCell ref="I113:I115"/>
    <mergeCell ref="I116:I118"/>
    <mergeCell ref="I119:I121"/>
    <mergeCell ref="J119:J121"/>
    <mergeCell ref="K119:K121"/>
    <mergeCell ref="L119:L121"/>
    <mergeCell ref="E124:E132"/>
    <mergeCell ref="E134:E142"/>
    <mergeCell ref="E144:E152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showGridLines="0" topLeftCell="A52" zoomScale="90" zoomScaleNormal="90" zoomScaleSheetLayoutView="10" workbookViewId="0">
      <selection activeCell="K55" sqref="K55"/>
    </sheetView>
  </sheetViews>
  <sheetFormatPr baseColWidth="10" defaultColWidth="15.7109375" defaultRowHeight="35.1" customHeight="1" x14ac:dyDescent="0.2"/>
  <cols>
    <col min="1" max="1" width="16.7109375" style="84" customWidth="1"/>
    <col min="2" max="4" width="16.7109375" style="89" customWidth="1"/>
    <col min="5" max="5" width="18.28515625" style="89" customWidth="1"/>
    <col min="6" max="11" width="16.7109375" style="89" customWidth="1"/>
    <col min="12" max="12" width="16.7109375" style="84" customWidth="1"/>
    <col min="13" max="16384" width="15.7109375" style="84"/>
  </cols>
  <sheetData>
    <row r="1" spans="1:20" ht="35.1" customHeight="1" x14ac:dyDescent="0.2">
      <c r="A1" s="735"/>
      <c r="B1" s="736"/>
      <c r="C1" s="746" t="s">
        <v>410</v>
      </c>
      <c r="D1" s="747"/>
      <c r="E1" s="747"/>
      <c r="F1" s="747"/>
      <c r="G1" s="747"/>
      <c r="H1" s="747"/>
      <c r="I1" s="747"/>
      <c r="J1" s="747"/>
      <c r="K1" s="747"/>
      <c r="L1" s="748"/>
    </row>
    <row r="2" spans="1:20" ht="35.1" customHeight="1" x14ac:dyDescent="0.2">
      <c r="A2" s="737"/>
      <c r="B2" s="738"/>
      <c r="C2" s="749"/>
      <c r="D2" s="750"/>
      <c r="E2" s="750"/>
      <c r="F2" s="750"/>
      <c r="G2" s="750"/>
      <c r="H2" s="750"/>
      <c r="I2" s="750"/>
      <c r="J2" s="750"/>
      <c r="K2" s="750"/>
      <c r="L2" s="751"/>
    </row>
    <row r="3" spans="1:20" ht="35.1" customHeight="1" x14ac:dyDescent="0.2">
      <c r="A3" s="739"/>
      <c r="B3" s="740"/>
      <c r="C3" s="752"/>
      <c r="D3" s="753"/>
      <c r="E3" s="753"/>
      <c r="F3" s="753"/>
      <c r="G3" s="753"/>
      <c r="H3" s="753"/>
      <c r="I3" s="753"/>
      <c r="J3" s="753"/>
      <c r="K3" s="753"/>
      <c r="L3" s="754"/>
    </row>
    <row r="4" spans="1:20" s="88" customFormat="1" ht="15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6"/>
      <c r="L4" s="87"/>
    </row>
    <row r="5" spans="1:20" ht="44.25" customHeight="1" thickBot="1" x14ac:dyDescent="0.25">
      <c r="B5" s="244" t="s">
        <v>7</v>
      </c>
      <c r="C5" s="245" t="s">
        <v>190</v>
      </c>
      <c r="D5" s="245" t="s">
        <v>357</v>
      </c>
      <c r="E5" s="245" t="s">
        <v>191</v>
      </c>
      <c r="F5" s="245" t="s">
        <v>86</v>
      </c>
      <c r="G5" s="246" t="s">
        <v>8</v>
      </c>
      <c r="H5" s="246" t="s">
        <v>79</v>
      </c>
      <c r="I5" s="247" t="s">
        <v>193</v>
      </c>
      <c r="J5" s="778"/>
      <c r="L5" s="90"/>
    </row>
    <row r="6" spans="1:20" ht="35.1" customHeight="1" thickBot="1" x14ac:dyDescent="0.25">
      <c r="A6" s="91"/>
      <c r="B6" s="241" t="e">
        <f>VLOOKUP($J$5,DATOS!$C$7:$K$22,2,FALSE)</f>
        <v>#N/A</v>
      </c>
      <c r="C6" s="275" t="e">
        <f>VLOOKUP($J$5,DATOS!$C$7:$K$22,3,FALSE)</f>
        <v>#N/A</v>
      </c>
      <c r="D6" s="241" t="e">
        <f>VLOOKUP($J$5,DATOS!$C$7:$K$22,8,FALSE)</f>
        <v>#N/A</v>
      </c>
      <c r="E6" s="241" t="e">
        <f>VLOOKUP($J$5,DATOS!$C$7:$K$22,6,FALSE)</f>
        <v>#N/A</v>
      </c>
      <c r="F6" s="275" t="e">
        <f>VLOOKUP($J$5,DATOS!$C$7:$K$22,7,FALSE)</f>
        <v>#N/A</v>
      </c>
      <c r="G6" s="241" t="e">
        <f>VLOOKUP($J$5,DATOS!$C$7:$K$22,4,FALSE)</f>
        <v>#N/A</v>
      </c>
      <c r="H6" s="241" t="e">
        <f>VLOOKUP($J$5,DATOS!$C$7:$K$22,5,FALSE)</f>
        <v>#N/A</v>
      </c>
      <c r="I6" s="241" t="e">
        <f>VLOOKUP($J$5,DATOS!$C$7:$K$22,9,FALSE)</f>
        <v>#N/A</v>
      </c>
      <c r="J6" s="779"/>
      <c r="L6" s="90"/>
    </row>
    <row r="7" spans="1:20" ht="9.9499999999999993" customHeight="1" thickBot="1" x14ac:dyDescent="0.25">
      <c r="B7" s="92"/>
      <c r="C7" s="93"/>
      <c r="D7" s="94"/>
      <c r="E7" s="93"/>
      <c r="F7" s="92"/>
      <c r="G7" s="95"/>
      <c r="H7" s="96"/>
      <c r="I7" s="92"/>
      <c r="J7" s="93"/>
      <c r="K7" s="93"/>
      <c r="L7" s="90"/>
    </row>
    <row r="8" spans="1:20" ht="35.1" customHeight="1" thickBot="1" x14ac:dyDescent="0.25">
      <c r="B8" s="690" t="s">
        <v>10</v>
      </c>
      <c r="C8" s="691"/>
      <c r="D8" s="691"/>
      <c r="E8" s="692"/>
      <c r="F8" s="258"/>
      <c r="G8" s="97"/>
      <c r="H8" s="97"/>
      <c r="I8" s="97"/>
      <c r="J8" s="97"/>
      <c r="K8" s="97"/>
      <c r="L8" s="97"/>
    </row>
    <row r="9" spans="1:20" ht="35.1" customHeight="1" thickBot="1" x14ac:dyDescent="0.25">
      <c r="B9" s="755" t="s">
        <v>3</v>
      </c>
      <c r="C9" s="755"/>
      <c r="D9" s="257" t="e">
        <f>VLOOKUP($F$8,DATOS!$C$16:$L$22,2,FALSE)</f>
        <v>#N/A</v>
      </c>
      <c r="E9" s="270"/>
      <c r="F9" s="98"/>
      <c r="G9" s="690" t="s">
        <v>327</v>
      </c>
      <c r="H9" s="691"/>
      <c r="I9" s="691"/>
      <c r="J9" s="692"/>
      <c r="K9" s="97"/>
      <c r="L9" s="97"/>
    </row>
    <row r="10" spans="1:20" ht="35.1" customHeight="1" thickBot="1" x14ac:dyDescent="0.25">
      <c r="B10" s="742" t="s">
        <v>9</v>
      </c>
      <c r="C10" s="742"/>
      <c r="D10" s="257" t="e">
        <f>VLOOKUP($F$8,DATOS!$C$16:$L$22,3,FALSE)</f>
        <v>#N/A</v>
      </c>
      <c r="E10" s="270"/>
      <c r="F10" s="98"/>
      <c r="G10" s="745" t="s">
        <v>329</v>
      </c>
      <c r="H10" s="745"/>
      <c r="I10" s="744" t="e">
        <f>VLOOKUP($K$10,DATOS!$B$27:$Q$88,1,FALSE)</f>
        <v>#N/A</v>
      </c>
      <c r="J10" s="744"/>
      <c r="K10" s="259"/>
      <c r="L10" s="97"/>
      <c r="M10" s="99"/>
      <c r="N10" s="99"/>
      <c r="O10" s="99"/>
      <c r="P10" s="99"/>
    </row>
    <row r="11" spans="1:20" ht="35.1" customHeight="1" x14ac:dyDescent="0.2">
      <c r="B11" s="742" t="s">
        <v>1</v>
      </c>
      <c r="C11" s="742"/>
      <c r="D11" s="257" t="e">
        <f>VLOOKUP($F$8,DATOS!$C$16:$L$22,4,FALSE)</f>
        <v>#N/A</v>
      </c>
      <c r="E11" s="270"/>
      <c r="F11" s="98"/>
      <c r="G11" s="742" t="s">
        <v>3</v>
      </c>
      <c r="H11" s="742"/>
      <c r="I11" s="756" t="e">
        <f>VLOOKUP($K$10,DATOS!$B$27:$R$88,4,FALSE)</f>
        <v>#N/A</v>
      </c>
      <c r="J11" s="757"/>
      <c r="K11" s="97"/>
      <c r="L11" s="97"/>
      <c r="P11" s="99"/>
    </row>
    <row r="12" spans="1:20" s="99" customFormat="1" ht="35.1" customHeight="1" x14ac:dyDescent="0.2">
      <c r="B12" s="742" t="s">
        <v>373</v>
      </c>
      <c r="C12" s="743"/>
      <c r="D12" s="274" t="e">
        <f>VLOOKUP($F$8,DATOS!$C$16:$L$22,5,FALSE)</f>
        <v>#N/A</v>
      </c>
      <c r="E12" s="270"/>
      <c r="F12" s="100"/>
      <c r="G12" s="742" t="s">
        <v>0</v>
      </c>
      <c r="H12" s="742"/>
      <c r="I12" s="756" t="e">
        <f>VLOOKUP($K$10,DATOS!$B$27:$R$88,3,FALSE)</f>
        <v>#N/A</v>
      </c>
      <c r="J12" s="757"/>
      <c r="K12" s="93"/>
      <c r="L12" s="101"/>
      <c r="Q12" s="84"/>
      <c r="R12" s="84"/>
      <c r="S12" s="84"/>
      <c r="T12" s="84"/>
    </row>
    <row r="13" spans="1:20" s="99" customFormat="1" ht="35.1" customHeight="1" x14ac:dyDescent="0.2">
      <c r="B13" s="743" t="s">
        <v>49</v>
      </c>
      <c r="C13" s="767"/>
      <c r="D13" s="274" t="e">
        <f>VLOOKUP($F$8,DATOS!$C$16:$L$22,6,FALSE)</f>
        <v>#N/A</v>
      </c>
      <c r="E13" s="270"/>
      <c r="F13" s="100"/>
      <c r="G13" s="742" t="s">
        <v>2</v>
      </c>
      <c r="H13" s="742"/>
      <c r="I13" s="756" t="e">
        <f>VLOOKUP($K$10,DATOS!$B$27:$R$88,7,FALSE)</f>
        <v>#N/A</v>
      </c>
      <c r="J13" s="757"/>
      <c r="K13" s="93"/>
      <c r="L13" s="101"/>
    </row>
    <row r="14" spans="1:20" s="99" customFormat="1" ht="35.1" customHeight="1" x14ac:dyDescent="0.2">
      <c r="B14" s="780" t="s">
        <v>358</v>
      </c>
      <c r="C14" s="781"/>
      <c r="D14" s="273" t="e">
        <f>VLOOKUP($F$8,DATOS!$C$16:$L$22,7,FALSE)</f>
        <v>#N/A</v>
      </c>
      <c r="E14" s="270"/>
      <c r="F14" s="100"/>
      <c r="G14" s="742" t="s">
        <v>307</v>
      </c>
      <c r="H14" s="742"/>
      <c r="I14" s="758" t="e">
        <f>VLOOKUP($K$10,DATOS!$B$27:$R$88,8,FALSE)</f>
        <v>#N/A</v>
      </c>
      <c r="J14" s="759"/>
      <c r="K14" s="93"/>
      <c r="L14" s="101"/>
    </row>
    <row r="15" spans="1:20" s="99" customFormat="1" ht="35.1" customHeight="1" x14ac:dyDescent="0.2">
      <c r="B15" s="780" t="s">
        <v>359</v>
      </c>
      <c r="C15" s="781"/>
      <c r="D15" s="274" t="e">
        <f>VLOOKUP($F$8,DATOS!$C$16:$L$22,8,FALSE)</f>
        <v>#N/A</v>
      </c>
      <c r="E15" s="270"/>
      <c r="F15" s="100"/>
      <c r="G15" s="742" t="s">
        <v>128</v>
      </c>
      <c r="H15" s="742"/>
      <c r="I15" s="756" t="e">
        <f>VLOOKUP($K$10,DATOS!$B$27:$R$88,17,FALSE)</f>
        <v>#N/A</v>
      </c>
      <c r="J15" s="757"/>
      <c r="K15" s="93"/>
      <c r="L15" s="93"/>
    </row>
    <row r="16" spans="1:20" s="99" customFormat="1" ht="9.9499999999999993" customHeight="1" thickBot="1" x14ac:dyDescent="0.3">
      <c r="B16" s="102"/>
      <c r="C16" s="102"/>
      <c r="D16" s="102"/>
      <c r="E16" s="102"/>
      <c r="F16" s="102"/>
      <c r="G16" s="103"/>
      <c r="H16" s="103"/>
      <c r="I16" s="104"/>
      <c r="J16" s="102"/>
      <c r="K16" s="93"/>
      <c r="L16" s="93"/>
    </row>
    <row r="17" spans="1:12" s="99" customFormat="1" ht="35.1" customHeight="1" thickBot="1" x14ac:dyDescent="0.3">
      <c r="B17" s="723" t="s">
        <v>11</v>
      </c>
      <c r="C17" s="718"/>
      <c r="D17" s="691"/>
      <c r="E17" s="691"/>
      <c r="F17" s="691"/>
      <c r="G17" s="691"/>
      <c r="H17" s="691"/>
      <c r="I17" s="691"/>
      <c r="J17" s="692"/>
      <c r="K17" s="93"/>
      <c r="L17" s="93"/>
    </row>
    <row r="18" spans="1:12" s="99" customFormat="1" ht="35.1" customHeight="1" thickBot="1" x14ac:dyDescent="0.3">
      <c r="B18" s="782" t="s">
        <v>109</v>
      </c>
      <c r="C18" s="782"/>
      <c r="D18" s="105"/>
      <c r="E18" s="106"/>
      <c r="F18" s="107"/>
      <c r="G18" s="784" t="s">
        <v>360</v>
      </c>
      <c r="H18" s="784"/>
      <c r="I18" s="784"/>
      <c r="J18" s="784"/>
      <c r="K18" s="93"/>
      <c r="L18" s="93"/>
    </row>
    <row r="19" spans="1:12" s="99" customFormat="1" ht="35.1" customHeight="1" thickBot="1" x14ac:dyDescent="0.3">
      <c r="B19" s="782"/>
      <c r="C19" s="782"/>
      <c r="D19" s="108"/>
      <c r="E19" s="260"/>
      <c r="F19" s="109"/>
      <c r="G19" s="722" t="s">
        <v>110</v>
      </c>
      <c r="H19" s="722" t="s">
        <v>170</v>
      </c>
      <c r="I19" s="722" t="s">
        <v>13</v>
      </c>
      <c r="J19" s="722" t="s">
        <v>361</v>
      </c>
      <c r="K19" s="93"/>
      <c r="L19" s="93"/>
    </row>
    <row r="20" spans="1:12" s="99" customFormat="1" ht="35.1" customHeight="1" thickBot="1" x14ac:dyDescent="0.3">
      <c r="B20" s="782"/>
      <c r="C20" s="782"/>
      <c r="D20" s="110"/>
      <c r="E20" s="111"/>
      <c r="F20" s="111"/>
      <c r="G20" s="722"/>
      <c r="H20" s="722"/>
      <c r="I20" s="722"/>
      <c r="J20" s="722"/>
      <c r="K20" s="93"/>
      <c r="L20" s="93"/>
    </row>
    <row r="21" spans="1:12" s="99" customFormat="1" ht="35.1" customHeight="1" thickBot="1" x14ac:dyDescent="0.3">
      <c r="B21" s="782" t="s">
        <v>12</v>
      </c>
      <c r="C21" s="782"/>
      <c r="D21" s="112"/>
      <c r="E21" s="112"/>
      <c r="F21" s="113"/>
      <c r="G21" s="243" t="e">
        <f>VLOOKUP($K$21,DATOS!$C$27:$R$88,8,FALSE)</f>
        <v>#N/A</v>
      </c>
      <c r="H21" s="243" t="e">
        <f>VLOOKUP($K$21,DATOS!$C$27:$R$88,12,FALSE)</f>
        <v>#N/A</v>
      </c>
      <c r="I21" s="243" t="e">
        <f>VLOOKUP($K$21,DATOS!$C$27:$R$88,13,FALSE)</f>
        <v>#N/A</v>
      </c>
      <c r="J21" s="243" t="e">
        <f>VLOOKUP($K$21,DATOS!$C$27:$R$88,5,FALSE)</f>
        <v>#N/A</v>
      </c>
      <c r="K21" s="262"/>
      <c r="L21" s="93"/>
    </row>
    <row r="22" spans="1:12" s="99" customFormat="1" ht="35.1" customHeight="1" thickBot="1" x14ac:dyDescent="0.3">
      <c r="B22" s="782"/>
      <c r="C22" s="783"/>
      <c r="D22" s="261"/>
      <c r="E22" s="261"/>
      <c r="F22" s="261"/>
      <c r="G22" s="243" t="e">
        <f>VLOOKUP($K$22,DATOS!$C$27:$R$88,8,FALSE)</f>
        <v>#N/A</v>
      </c>
      <c r="H22" s="243" t="e">
        <f>VLOOKUP($K$22,DATOS!$C$27:$R$88,12,FALSE)</f>
        <v>#N/A</v>
      </c>
      <c r="I22" s="243" t="e">
        <f>VLOOKUP($K$22,DATOS!$C$27:$R$88,13,FALSE)</f>
        <v>#N/A</v>
      </c>
      <c r="J22" s="243" t="e">
        <f>VLOOKUP($K$22,DATOS!$C$27:$R$88,5,FALSE)</f>
        <v>#N/A</v>
      </c>
      <c r="K22" s="262"/>
      <c r="L22" s="93"/>
    </row>
    <row r="23" spans="1:12" s="99" customFormat="1" ht="35.1" customHeight="1" thickBot="1" x14ac:dyDescent="0.3">
      <c r="A23" s="102"/>
      <c r="B23" s="782"/>
      <c r="C23" s="782"/>
      <c r="D23" s="114"/>
      <c r="E23" s="115"/>
      <c r="F23" s="114"/>
      <c r="G23" s="243" t="e">
        <f>VLOOKUP($K$23,DATOS!$C$27:$R$88,8,FALSE)</f>
        <v>#N/A</v>
      </c>
      <c r="H23" s="243" t="e">
        <f>VLOOKUP($K$23,DATOS!$C$27:$R$88,12,FALSE)</f>
        <v>#N/A</v>
      </c>
      <c r="I23" s="243" t="e">
        <f>VLOOKUP($K$23,DATOS!$C$27:$R$88,13,FALSE)</f>
        <v>#N/A</v>
      </c>
      <c r="J23" s="243" t="e">
        <f>VLOOKUP($K$23,DATOS!$C$27:$R$88,5,FALSE)</f>
        <v>#N/A</v>
      </c>
      <c r="K23" s="262"/>
      <c r="L23" s="93"/>
    </row>
    <row r="24" spans="1:12" s="99" customFormat="1" ht="35.1" customHeight="1" thickBot="1" x14ac:dyDescent="0.3">
      <c r="A24" s="102"/>
      <c r="C24" s="733" t="s">
        <v>310</v>
      </c>
      <c r="D24" s="734"/>
      <c r="E24" s="258"/>
      <c r="G24" s="243" t="e">
        <f>VLOOKUP($K$24,DATOS!$C$27:$R$88,8,FALSE)</f>
        <v>#N/A</v>
      </c>
      <c r="H24" s="243" t="e">
        <f>VLOOKUP($K$24,DATOS!$C$27:$R$88,12,FALSE)</f>
        <v>#N/A</v>
      </c>
      <c r="I24" s="243" t="e">
        <f>VLOOKUP($K$24,DATOS!$C$27:$R$88,13,FALSE)</f>
        <v>#N/A</v>
      </c>
      <c r="J24" s="243" t="e">
        <f>VLOOKUP($K$24,DATOS!$C$27:$R$88,5,FALSE)</f>
        <v>#N/A</v>
      </c>
      <c r="K24" s="262"/>
      <c r="L24" s="93"/>
    </row>
    <row r="25" spans="1:12" s="99" customFormat="1" ht="35.1" customHeight="1" x14ac:dyDescent="0.25">
      <c r="A25" s="116"/>
      <c r="B25" s="117" t="s">
        <v>326</v>
      </c>
      <c r="C25" s="117" t="s">
        <v>171</v>
      </c>
      <c r="D25" s="118" t="s">
        <v>60</v>
      </c>
      <c r="E25" s="119" t="s">
        <v>195</v>
      </c>
      <c r="G25" s="243" t="e">
        <f>G22+G23+G24+B26</f>
        <v>#N/A</v>
      </c>
      <c r="H25" s="243" t="e">
        <f t="shared" ref="H25:I25" si="0">H22+H23+H24+C26</f>
        <v>#N/A</v>
      </c>
      <c r="I25" s="243" t="e">
        <f t="shared" si="0"/>
        <v>#N/A</v>
      </c>
      <c r="J25" s="243" t="e">
        <f>VLOOKUP($K$24,DATOS!$C$27:$R$88,5,FALSE)</f>
        <v>#N/A</v>
      </c>
      <c r="K25" s="93"/>
    </row>
    <row r="26" spans="1:12" s="99" customFormat="1" ht="35.1" customHeight="1" thickBot="1" x14ac:dyDescent="0.3">
      <c r="A26" s="102"/>
      <c r="B26" s="243" t="e">
        <f>VLOOKUP($E$24,DATOS!$C$27:$R$88,8,FALSE)</f>
        <v>#N/A</v>
      </c>
      <c r="C26" s="243" t="e">
        <f>VLOOKUP($E$24,DATOS!$C$27:$R$88,12,FALSE)</f>
        <v>#N/A</v>
      </c>
      <c r="D26" s="243" t="e">
        <f>VLOOKUP($E$24,DATOS!$C$27:$R$88,13,FALSE)</f>
        <v>#N/A</v>
      </c>
      <c r="E26" s="243" t="e">
        <f>VLOOKUP($E$24,DATOS!$C$27:$R$88,5,FALSE)</f>
        <v>#N/A</v>
      </c>
      <c r="F26" s="120" t="s">
        <v>126</v>
      </c>
      <c r="G26" s="121">
        <f>5-2</f>
        <v>3</v>
      </c>
      <c r="H26" s="93"/>
      <c r="I26" s="463"/>
    </row>
    <row r="27" spans="1:12" s="99" customFormat="1" ht="36" customHeight="1" x14ac:dyDescent="0.25">
      <c r="A27" s="102"/>
      <c r="B27" s="760" t="s">
        <v>374</v>
      </c>
      <c r="C27" s="761"/>
      <c r="D27" s="761"/>
      <c r="E27" s="761"/>
      <c r="F27" s="761"/>
      <c r="G27" s="761"/>
      <c r="H27" s="761"/>
      <c r="I27" s="761"/>
      <c r="J27" s="761"/>
      <c r="K27" s="762"/>
    </row>
    <row r="28" spans="1:12" ht="49.5" customHeight="1" x14ac:dyDescent="0.2">
      <c r="A28" s="90"/>
      <c r="B28" s="407" t="s">
        <v>3</v>
      </c>
      <c r="C28" s="243" t="e">
        <f>VLOOKUP($K$28,DATOS!$C$101:$T$153,2,FALSE)</f>
        <v>#N/A</v>
      </c>
      <c r="D28" s="407" t="s">
        <v>85</v>
      </c>
      <c r="E28" s="177" t="e">
        <f>VLOOKUP($K$28,DATOS!$C$101:$T$153,3,FALSE)</f>
        <v>#N/A</v>
      </c>
      <c r="F28" s="408" t="s">
        <v>2</v>
      </c>
      <c r="G28" s="763" t="e">
        <f>VLOOKUP($K$28,DATOS!$C$101:$T$153,18,FALSE)</f>
        <v>#N/A</v>
      </c>
      <c r="H28" s="764"/>
      <c r="I28" s="407" t="s">
        <v>375</v>
      </c>
      <c r="J28" s="467" t="e">
        <f>VLOOKUP($K$28,DATOS!$C$101:$T$153,17,FALSE)</f>
        <v>#N/A</v>
      </c>
      <c r="K28" s="409"/>
    </row>
    <row r="29" spans="1:12" ht="35.1" customHeight="1" x14ac:dyDescent="0.2">
      <c r="A29" s="90"/>
      <c r="B29" s="765" t="s">
        <v>377</v>
      </c>
      <c r="C29" s="765"/>
      <c r="D29" s="410" t="s">
        <v>6</v>
      </c>
      <c r="E29" s="243" t="e">
        <f>VLOOKUP($K$29,DATOS!$O$101:$R$147,2,FALSE)</f>
        <v>#N/A</v>
      </c>
      <c r="F29" s="766" t="s">
        <v>4</v>
      </c>
      <c r="G29" s="766"/>
      <c r="H29" s="243" t="e">
        <f>VLOOKUP($K$29,DATOS!$O$101:$R$147,3,FALSE)</f>
        <v>#N/A</v>
      </c>
      <c r="I29" s="407" t="s">
        <v>5</v>
      </c>
      <c r="J29" s="243" t="e">
        <f>VLOOKUP($K$29,DATOS!$O$101:$R$147,4,FALSE)</f>
        <v>#N/A</v>
      </c>
      <c r="K29" s="409"/>
    </row>
    <row r="30" spans="1:12" ht="35.1" customHeight="1" thickBot="1" x14ac:dyDescent="0.25">
      <c r="A30" s="123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2" ht="35.1" customHeight="1" thickBot="1" x14ac:dyDescent="0.25">
      <c r="A31" s="123"/>
      <c r="B31" s="690" t="s">
        <v>61</v>
      </c>
      <c r="C31" s="691"/>
      <c r="D31" s="691"/>
      <c r="E31" s="691"/>
      <c r="F31" s="691"/>
      <c r="G31" s="691"/>
      <c r="H31" s="691"/>
      <c r="I31" s="692"/>
      <c r="K31" s="122" t="s">
        <v>129</v>
      </c>
      <c r="L31" s="93"/>
    </row>
    <row r="32" spans="1:12" ht="38.25" customHeight="1" thickBot="1" x14ac:dyDescent="0.25">
      <c r="B32" s="124" t="s">
        <v>62</v>
      </c>
      <c r="C32" s="263"/>
      <c r="D32" s="125" t="s">
        <v>6</v>
      </c>
      <c r="E32" s="264"/>
      <c r="F32" s="126" t="s">
        <v>4</v>
      </c>
      <c r="G32" s="264"/>
      <c r="H32" s="124" t="s">
        <v>5</v>
      </c>
      <c r="I32" s="265"/>
      <c r="K32" s="127" t="s">
        <v>54</v>
      </c>
      <c r="L32" s="128">
        <v>2</v>
      </c>
    </row>
    <row r="33" spans="1:11" ht="35.1" customHeight="1" thickBot="1" x14ac:dyDescent="0.25">
      <c r="A33" s="89"/>
      <c r="B33" s="690" t="s">
        <v>14</v>
      </c>
      <c r="C33" s="691"/>
      <c r="D33" s="691"/>
      <c r="E33" s="691"/>
      <c r="F33" s="691"/>
      <c r="G33" s="692"/>
    </row>
    <row r="34" spans="1:11" ht="35.1" customHeight="1" x14ac:dyDescent="0.2">
      <c r="A34" s="89"/>
      <c r="C34" s="124" t="s">
        <v>56</v>
      </c>
      <c r="D34" s="124" t="s">
        <v>55</v>
      </c>
      <c r="E34" s="129">
        <f>E19</f>
        <v>0</v>
      </c>
      <c r="F34" s="124" t="s">
        <v>48</v>
      </c>
      <c r="G34" s="129">
        <f>E34*1000</f>
        <v>0</v>
      </c>
    </row>
    <row r="35" spans="1:11" ht="35.1" customHeight="1" x14ac:dyDescent="0.2">
      <c r="A35" s="89"/>
      <c r="B35" s="130" t="s">
        <v>15</v>
      </c>
      <c r="C35" s="131">
        <v>1</v>
      </c>
      <c r="D35" s="131">
        <v>2</v>
      </c>
      <c r="E35" s="131">
        <v>3</v>
      </c>
      <c r="F35" s="131">
        <v>4</v>
      </c>
      <c r="G35" s="131">
        <v>5</v>
      </c>
    </row>
    <row r="36" spans="1:11" ht="35.1" customHeight="1" x14ac:dyDescent="0.2">
      <c r="A36" s="89"/>
      <c r="B36" s="132" t="s">
        <v>362</v>
      </c>
      <c r="C36" s="266"/>
      <c r="D36" s="266"/>
      <c r="E36" s="266"/>
      <c r="F36" s="266"/>
      <c r="G36" s="266"/>
    </row>
    <row r="37" spans="1:11" ht="35.1" customHeight="1" x14ac:dyDescent="0.2">
      <c r="A37" s="89"/>
      <c r="B37" s="132" t="s">
        <v>16</v>
      </c>
      <c r="C37" s="133">
        <f>$C$36-C36</f>
        <v>0</v>
      </c>
      <c r="D37" s="133">
        <f t="shared" ref="D37:G37" si="1">$C$36-D36</f>
        <v>0</v>
      </c>
      <c r="E37" s="133">
        <f t="shared" si="1"/>
        <v>0</v>
      </c>
      <c r="F37" s="133">
        <f>$C$36-F36</f>
        <v>0</v>
      </c>
      <c r="G37" s="133">
        <f t="shared" si="1"/>
        <v>0</v>
      </c>
    </row>
    <row r="38" spans="1:11" ht="35.1" customHeight="1" x14ac:dyDescent="0.2">
      <c r="A38" s="89"/>
      <c r="B38" s="132" t="s">
        <v>47</v>
      </c>
      <c r="C38" s="133">
        <f>ABS(C37)</f>
        <v>0</v>
      </c>
      <c r="D38" s="133">
        <f t="shared" ref="D38:G38" si="2">ABS(D37)</f>
        <v>0</v>
      </c>
      <c r="E38" s="133">
        <f t="shared" si="2"/>
        <v>0</v>
      </c>
      <c r="F38" s="133">
        <f t="shared" si="2"/>
        <v>0</v>
      </c>
      <c r="G38" s="133">
        <f t="shared" si="2"/>
        <v>0</v>
      </c>
    </row>
    <row r="39" spans="1:11" ht="35.1" customHeight="1" x14ac:dyDescent="0.25">
      <c r="A39" s="89"/>
      <c r="B39" s="134" t="s">
        <v>48</v>
      </c>
      <c r="C39" s="135">
        <f>MAX(C38:G38)*1000</f>
        <v>0</v>
      </c>
      <c r="D39" s="136"/>
      <c r="E39" s="136"/>
      <c r="F39" s="136"/>
      <c r="G39" s="136"/>
    </row>
    <row r="40" spans="1:11" ht="9.9499999999999993" customHeight="1" thickBot="1" x14ac:dyDescent="0.25">
      <c r="A40" s="89"/>
    </row>
    <row r="41" spans="1:11" ht="35.1" customHeight="1" thickBot="1" x14ac:dyDescent="0.25">
      <c r="B41" s="690" t="s">
        <v>17</v>
      </c>
      <c r="C41" s="691"/>
      <c r="D41" s="691"/>
      <c r="E41" s="691"/>
      <c r="F41" s="691"/>
      <c r="G41" s="691"/>
      <c r="H41" s="691"/>
      <c r="I41" s="691"/>
      <c r="J41" s="691"/>
      <c r="K41" s="692"/>
    </row>
    <row r="42" spans="1:11" s="137" customFormat="1" ht="35.1" customHeight="1" x14ac:dyDescent="0.2">
      <c r="B42" s="741" t="s">
        <v>20</v>
      </c>
      <c r="C42" s="741"/>
      <c r="D42" s="741"/>
      <c r="E42" s="741"/>
      <c r="F42" s="741"/>
      <c r="G42" s="741"/>
      <c r="H42" s="741"/>
      <c r="I42" s="741"/>
      <c r="J42" s="741"/>
      <c r="K42" s="119" t="s">
        <v>51</v>
      </c>
    </row>
    <row r="43" spans="1:11" ht="35.1" customHeight="1" x14ac:dyDescent="0.2">
      <c r="A43" s="117" t="s">
        <v>18</v>
      </c>
      <c r="B43" s="138">
        <v>1</v>
      </c>
      <c r="C43" s="138">
        <v>2</v>
      </c>
      <c r="D43" s="138">
        <v>3</v>
      </c>
      <c r="E43" s="138">
        <v>4</v>
      </c>
      <c r="F43" s="138">
        <v>5</v>
      </c>
      <c r="G43" s="138">
        <v>6</v>
      </c>
      <c r="H43" s="138">
        <v>7</v>
      </c>
      <c r="I43" s="138">
        <v>8</v>
      </c>
      <c r="J43" s="138">
        <v>9</v>
      </c>
      <c r="K43" s="139">
        <v>10</v>
      </c>
    </row>
    <row r="44" spans="1:11" ht="35.1" customHeight="1" x14ac:dyDescent="0.2">
      <c r="A44" s="140">
        <f>D22</f>
        <v>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</row>
    <row r="45" spans="1:11" ht="35.1" customHeight="1" x14ac:dyDescent="0.2">
      <c r="A45" s="140">
        <f>E22</f>
        <v>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</row>
    <row r="46" spans="1:11" ht="35.1" customHeight="1" x14ac:dyDescent="0.2">
      <c r="A46" s="140">
        <f>F22</f>
        <v>0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</row>
    <row r="47" spans="1:11" ht="35.1" customHeight="1" x14ac:dyDescent="0.2">
      <c r="B47" s="117" t="s">
        <v>18</v>
      </c>
      <c r="C47" s="117" t="s">
        <v>19</v>
      </c>
      <c r="D47" s="141" t="s">
        <v>66</v>
      </c>
      <c r="E47" s="141" t="s">
        <v>65</v>
      </c>
      <c r="F47" s="141" t="s">
        <v>363</v>
      </c>
      <c r="H47" s="84"/>
      <c r="J47" s="84"/>
      <c r="K47" s="142"/>
    </row>
    <row r="48" spans="1:11" ht="35.1" customHeight="1" x14ac:dyDescent="0.2">
      <c r="B48" s="381">
        <f>A44</f>
        <v>0</v>
      </c>
      <c r="C48" s="155" t="e">
        <f>AVERAGE(B44:K44)</f>
        <v>#DIV/0!</v>
      </c>
      <c r="D48" s="155" t="e">
        <f>_xlfn.STDEV.S(B44:K44)</f>
        <v>#DIV/0!</v>
      </c>
      <c r="E48" s="155" t="e">
        <f>D48*1000</f>
        <v>#DIV/0!</v>
      </c>
      <c r="F48" s="155" t="e">
        <f>MAX(E48:E50)</f>
        <v>#DIV/0!</v>
      </c>
      <c r="H48" s="84"/>
      <c r="I48" s="267"/>
      <c r="J48" s="90"/>
      <c r="K48" s="84"/>
    </row>
    <row r="49" spans="1:12" ht="35.1" customHeight="1" x14ac:dyDescent="0.2">
      <c r="B49" s="381">
        <f>A45</f>
        <v>0</v>
      </c>
      <c r="C49" s="155" t="e">
        <f t="shared" ref="C49:C50" si="3">AVERAGE(B45:K45)</f>
        <v>#DIV/0!</v>
      </c>
      <c r="D49" s="155" t="e">
        <f t="shared" ref="D49:D50" si="4">_xlfn.STDEV.S(B45:K45)</f>
        <v>#DIV/0!</v>
      </c>
      <c r="E49" s="155" t="e">
        <f t="shared" ref="E49:E50" si="5">D49*1000</f>
        <v>#DIV/0!</v>
      </c>
      <c r="H49" s="84"/>
      <c r="I49" s="84"/>
      <c r="J49" s="90"/>
      <c r="K49" s="84"/>
    </row>
    <row r="50" spans="1:12" ht="35.1" customHeight="1" x14ac:dyDescent="0.2">
      <c r="A50" s="89"/>
      <c r="B50" s="381">
        <f>A46</f>
        <v>0</v>
      </c>
      <c r="C50" s="155" t="e">
        <f t="shared" si="3"/>
        <v>#DIV/0!</v>
      </c>
      <c r="D50" s="155" t="e">
        <f t="shared" si="4"/>
        <v>#DIV/0!</v>
      </c>
      <c r="E50" s="155" t="e">
        <f t="shared" si="5"/>
        <v>#DIV/0!</v>
      </c>
      <c r="H50" s="84"/>
      <c r="I50" s="90"/>
      <c r="J50" s="90"/>
      <c r="K50" s="90"/>
    </row>
    <row r="51" spans="1:12" ht="29.25" customHeight="1" thickBot="1" x14ac:dyDescent="0.25">
      <c r="A51" s="89"/>
      <c r="B51" s="84"/>
      <c r="C51" s="84"/>
      <c r="D51" s="84"/>
      <c r="E51" s="84"/>
      <c r="F51" s="84"/>
      <c r="G51" s="84"/>
      <c r="H51" s="84"/>
      <c r="I51" s="90"/>
      <c r="J51" s="90"/>
      <c r="K51" s="90"/>
    </row>
    <row r="52" spans="1:12" ht="35.1" customHeight="1" thickBot="1" x14ac:dyDescent="0.25">
      <c r="A52" s="89"/>
      <c r="B52" s="690" t="s">
        <v>23</v>
      </c>
      <c r="C52" s="691"/>
      <c r="D52" s="691"/>
      <c r="E52" s="691"/>
      <c r="F52" s="691"/>
      <c r="G52" s="691"/>
      <c r="H52" s="691"/>
      <c r="I52" s="691"/>
      <c r="J52" s="691"/>
      <c r="K52" s="691"/>
      <c r="L52" s="692"/>
    </row>
    <row r="53" spans="1:12" ht="35.1" customHeight="1" thickBot="1" x14ac:dyDescent="0.25">
      <c r="B53" s="690" t="s">
        <v>119</v>
      </c>
      <c r="C53" s="691"/>
      <c r="D53" s="691"/>
      <c r="E53" s="692"/>
      <c r="F53" s="145"/>
      <c r="G53" s="690" t="s">
        <v>120</v>
      </c>
      <c r="H53" s="691"/>
      <c r="I53" s="691"/>
      <c r="J53" s="691"/>
      <c r="K53" s="691"/>
      <c r="L53" s="692"/>
    </row>
    <row r="54" spans="1:12" ht="35.1" customHeight="1" x14ac:dyDescent="0.2">
      <c r="A54" s="89"/>
      <c r="B54" s="119" t="s">
        <v>18</v>
      </c>
      <c r="C54" s="146" t="s">
        <v>186</v>
      </c>
      <c r="D54" s="147" t="s">
        <v>36</v>
      </c>
      <c r="E54" s="147" t="s">
        <v>36</v>
      </c>
      <c r="F54" s="145"/>
      <c r="G54" s="146" t="s">
        <v>186</v>
      </c>
      <c r="H54" s="146" t="s">
        <v>364</v>
      </c>
      <c r="I54" s="146"/>
      <c r="J54" s="146"/>
      <c r="K54" s="147" t="s">
        <v>36</v>
      </c>
      <c r="L54" s="147" t="s">
        <v>36</v>
      </c>
    </row>
    <row r="55" spans="1:12" ht="35.1" customHeight="1" x14ac:dyDescent="0.2">
      <c r="A55" s="89"/>
      <c r="B55" s="148" t="e">
        <f>H21</f>
        <v>#N/A</v>
      </c>
      <c r="C55" s="266"/>
      <c r="D55" s="149" t="e">
        <f>C55-B55</f>
        <v>#N/A</v>
      </c>
      <c r="E55" s="144" t="e">
        <f>D55*1000</f>
        <v>#N/A</v>
      </c>
      <c r="F55" s="145"/>
      <c r="G55" s="266"/>
      <c r="H55" s="266"/>
      <c r="I55" s="150" t="e">
        <f>AVERAGE(G55:H55)</f>
        <v>#DIV/0!</v>
      </c>
      <c r="J55" s="143" t="e">
        <f>I55*1000</f>
        <v>#DIV/0!</v>
      </c>
      <c r="K55" s="149" t="e">
        <f>I55-B55</f>
        <v>#DIV/0!</v>
      </c>
      <c r="L55" s="253" t="e">
        <f>K55*1000</f>
        <v>#DIV/0!</v>
      </c>
    </row>
    <row r="56" spans="1:12" ht="35.1" customHeight="1" x14ac:dyDescent="0.2">
      <c r="A56" s="89"/>
      <c r="B56" s="151" t="e">
        <f>H22</f>
        <v>#N/A</v>
      </c>
      <c r="C56" s="266"/>
      <c r="D56" s="149" t="e">
        <f t="shared" ref="D56:D59" si="6">C56-B56</f>
        <v>#N/A</v>
      </c>
      <c r="E56" s="144" t="e">
        <f t="shared" ref="E56:E59" si="7">D56*1000</f>
        <v>#N/A</v>
      </c>
      <c r="F56" s="145"/>
      <c r="G56" s="266"/>
      <c r="H56" s="266"/>
      <c r="I56" s="150" t="e">
        <f>AVERAGE(G56:H56)</f>
        <v>#DIV/0!</v>
      </c>
      <c r="J56" s="143" t="e">
        <f>I56*1000</f>
        <v>#DIV/0!</v>
      </c>
      <c r="K56" s="149" t="e">
        <f>I56-B56</f>
        <v>#DIV/0!</v>
      </c>
      <c r="L56" s="253" t="e">
        <f t="shared" ref="L56:L59" si="8">K56*1000</f>
        <v>#DIV/0!</v>
      </c>
    </row>
    <row r="57" spans="1:12" ht="35.1" customHeight="1" x14ac:dyDescent="0.2">
      <c r="A57" s="89"/>
      <c r="B57" s="151" t="e">
        <f>H23</f>
        <v>#N/A</v>
      </c>
      <c r="C57" s="266"/>
      <c r="D57" s="149" t="e">
        <f t="shared" si="6"/>
        <v>#N/A</v>
      </c>
      <c r="E57" s="144" t="e">
        <f t="shared" si="7"/>
        <v>#N/A</v>
      </c>
      <c r="F57" s="145"/>
      <c r="G57" s="266"/>
      <c r="H57" s="266"/>
      <c r="I57" s="150" t="e">
        <f>AVERAGE(G57:H57)</f>
        <v>#DIV/0!</v>
      </c>
      <c r="J57" s="143" t="e">
        <f t="shared" ref="J57:J59" si="9">I57*1000</f>
        <v>#DIV/0!</v>
      </c>
      <c r="K57" s="149" t="e">
        <f>I57-B57</f>
        <v>#DIV/0!</v>
      </c>
      <c r="L57" s="254" t="e">
        <f t="shared" si="8"/>
        <v>#DIV/0!</v>
      </c>
    </row>
    <row r="58" spans="1:12" ht="35.1" customHeight="1" x14ac:dyDescent="0.2">
      <c r="A58" s="89"/>
      <c r="B58" s="151" t="e">
        <f>H24</f>
        <v>#N/A</v>
      </c>
      <c r="C58" s="266"/>
      <c r="D58" s="149" t="e">
        <f t="shared" si="6"/>
        <v>#N/A</v>
      </c>
      <c r="E58" s="144" t="e">
        <f t="shared" si="7"/>
        <v>#N/A</v>
      </c>
      <c r="F58" s="145"/>
      <c r="G58" s="266"/>
      <c r="H58" s="266"/>
      <c r="I58" s="150" t="e">
        <f>AVERAGE(G58:H58)</f>
        <v>#DIV/0!</v>
      </c>
      <c r="J58" s="143" t="e">
        <f t="shared" si="9"/>
        <v>#DIV/0!</v>
      </c>
      <c r="K58" s="149" t="e">
        <f>I58-B58</f>
        <v>#DIV/0!</v>
      </c>
      <c r="L58" s="254" t="e">
        <f t="shared" si="8"/>
        <v>#DIV/0!</v>
      </c>
    </row>
    <row r="59" spans="1:12" ht="35.1" customHeight="1" x14ac:dyDescent="0.2">
      <c r="A59" s="89"/>
      <c r="B59" s="151" t="e">
        <f>H25</f>
        <v>#N/A</v>
      </c>
      <c r="C59" s="266"/>
      <c r="D59" s="149" t="e">
        <f t="shared" si="6"/>
        <v>#N/A</v>
      </c>
      <c r="E59" s="144" t="e">
        <f t="shared" si="7"/>
        <v>#N/A</v>
      </c>
      <c r="F59" s="153"/>
      <c r="G59" s="266"/>
      <c r="H59" s="266"/>
      <c r="I59" s="150" t="e">
        <f t="shared" ref="I59" si="10">AVERAGE(G59:H59)</f>
        <v>#DIV/0!</v>
      </c>
      <c r="J59" s="143" t="e">
        <f t="shared" si="9"/>
        <v>#DIV/0!</v>
      </c>
      <c r="K59" s="149" t="e">
        <f>I59-B59</f>
        <v>#DIV/0!</v>
      </c>
      <c r="L59" s="254" t="e">
        <f t="shared" si="8"/>
        <v>#DIV/0!</v>
      </c>
    </row>
    <row r="60" spans="1:12" ht="9.9499999999999993" customHeight="1" thickBot="1" x14ac:dyDescent="0.25">
      <c r="A60" s="89"/>
      <c r="L60" s="89"/>
    </row>
    <row r="61" spans="1:12" ht="35.1" customHeight="1" thickBot="1" x14ac:dyDescent="0.25">
      <c r="A61" s="154"/>
      <c r="B61" s="690" t="s">
        <v>63</v>
      </c>
      <c r="C61" s="691"/>
      <c r="D61" s="718"/>
      <c r="E61" s="691"/>
      <c r="F61" s="691"/>
      <c r="G61" s="691"/>
      <c r="H61" s="691"/>
      <c r="I61" s="692"/>
      <c r="K61" s="694" t="s">
        <v>387</v>
      </c>
      <c r="L61" s="695"/>
    </row>
    <row r="62" spans="1:12" ht="35.1" customHeight="1" thickBot="1" x14ac:dyDescent="0.25">
      <c r="A62" s="154"/>
      <c r="B62" s="398" t="s">
        <v>62</v>
      </c>
      <c r="C62" s="399"/>
      <c r="D62" s="772" t="s">
        <v>6</v>
      </c>
      <c r="E62" s="773"/>
      <c r="F62" s="774" t="s">
        <v>4</v>
      </c>
      <c r="G62" s="775"/>
      <c r="H62" s="774" t="s">
        <v>5</v>
      </c>
      <c r="I62" s="775"/>
      <c r="J62" s="84"/>
      <c r="K62" s="776"/>
      <c r="L62" s="777"/>
    </row>
    <row r="63" spans="1:12" ht="35.1" customHeight="1" thickBot="1" x14ac:dyDescent="0.25">
      <c r="A63" s="154"/>
      <c r="B63" s="768" t="s">
        <v>411</v>
      </c>
      <c r="C63" s="769"/>
      <c r="D63" s="468" t="s">
        <v>6</v>
      </c>
      <c r="E63" s="471">
        <f>(E32+E62)/2</f>
        <v>0</v>
      </c>
      <c r="F63" s="468" t="s">
        <v>4</v>
      </c>
      <c r="G63" s="471">
        <f>(G32+G62)/2</f>
        <v>0</v>
      </c>
      <c r="H63" s="468" t="s">
        <v>5</v>
      </c>
      <c r="I63" s="472">
        <f>(I32+I62)/2</f>
        <v>0</v>
      </c>
      <c r="J63" s="84"/>
      <c r="K63" s="469" t="e">
        <f>VLOOKUP($K$62,DATOS!$D$158:$H$162,2,FALSE)</f>
        <v>#N/A</v>
      </c>
      <c r="L63" s="242"/>
    </row>
    <row r="64" spans="1:12" ht="38.25" customHeight="1" thickBot="1" x14ac:dyDescent="0.25">
      <c r="A64" s="154"/>
      <c r="B64" s="770" t="s">
        <v>412</v>
      </c>
      <c r="C64" s="771"/>
      <c r="D64" s="470" t="s">
        <v>6</v>
      </c>
      <c r="E64" s="473">
        <f>E63+(0.0177*E63-0.4403)</f>
        <v>-0.44030000000000002</v>
      </c>
      <c r="F64" s="470" t="s">
        <v>4</v>
      </c>
      <c r="G64" s="473">
        <f>G63+(0.0421*G63+3.0128)</f>
        <v>3.0127999999999999</v>
      </c>
      <c r="H64" s="470" t="s">
        <v>5</v>
      </c>
      <c r="I64" s="474">
        <f>I63+(0.001*I63-1.3938)</f>
        <v>-1.3937999999999999</v>
      </c>
      <c r="J64" s="84"/>
    </row>
    <row r="65" spans="1:15" ht="21.75" customHeight="1" thickBot="1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5" ht="35.1" customHeight="1" thickBot="1" x14ac:dyDescent="0.25">
      <c r="A66" s="690" t="s">
        <v>34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2"/>
    </row>
    <row r="67" spans="1:15" s="137" customFormat="1" ht="9.9499999999999993" customHeight="1" thickBot="1" x14ac:dyDescent="0.25"/>
    <row r="68" spans="1:15" ht="35.1" customHeight="1" thickBot="1" x14ac:dyDescent="0.25">
      <c r="B68" s="84"/>
      <c r="C68" s="84"/>
      <c r="D68" s="84"/>
      <c r="E68" s="84"/>
      <c r="F68" s="719" t="s">
        <v>28</v>
      </c>
      <c r="G68" s="720"/>
      <c r="H68" s="720"/>
      <c r="I68" s="720"/>
      <c r="J68" s="721"/>
      <c r="K68" s="84"/>
    </row>
    <row r="69" spans="1:15" s="90" customFormat="1" ht="35.1" customHeight="1" x14ac:dyDescent="0.2">
      <c r="D69" s="156"/>
      <c r="F69" s="157" t="e">
        <f>G21</f>
        <v>#N/A</v>
      </c>
      <c r="G69" s="157" t="e">
        <f>G22</f>
        <v>#N/A</v>
      </c>
      <c r="H69" s="157" t="e">
        <f>G23</f>
        <v>#N/A</v>
      </c>
      <c r="I69" s="157" t="e">
        <f>G24</f>
        <v>#N/A</v>
      </c>
      <c r="J69" s="157" t="e">
        <f>G25</f>
        <v>#N/A</v>
      </c>
      <c r="K69" s="84"/>
      <c r="L69" s="84"/>
      <c r="M69" s="84"/>
      <c r="N69" s="84"/>
      <c r="O69" s="84"/>
    </row>
    <row r="70" spans="1:15" s="137" customFormat="1" ht="9.9499999999999993" customHeight="1" thickBot="1" x14ac:dyDescent="0.25">
      <c r="L70" s="84"/>
      <c r="M70" s="84"/>
      <c r="N70" s="84"/>
      <c r="O70" s="84"/>
    </row>
    <row r="71" spans="1:15" ht="35.1" customHeight="1" thickBot="1" x14ac:dyDescent="0.25">
      <c r="B71" s="693" t="s">
        <v>33</v>
      </c>
      <c r="C71" s="694"/>
      <c r="D71" s="695"/>
      <c r="E71" s="137"/>
      <c r="F71" s="690" t="s">
        <v>50</v>
      </c>
      <c r="G71" s="691"/>
      <c r="H71" s="691"/>
      <c r="I71" s="691"/>
      <c r="J71" s="691"/>
      <c r="K71" s="158" t="s">
        <v>27</v>
      </c>
      <c r="L71" s="159" t="s">
        <v>121</v>
      </c>
    </row>
    <row r="72" spans="1:15" ht="35.1" customHeight="1" x14ac:dyDescent="0.2">
      <c r="A72" s="709" t="s">
        <v>21</v>
      </c>
      <c r="B72" s="729"/>
      <c r="C72" s="729"/>
      <c r="D72" s="729"/>
      <c r="E72" s="730"/>
      <c r="F72" s="400" t="e">
        <f>(J55*$C$39)/(2*$G$34*SQRT(3))</f>
        <v>#DIV/0!</v>
      </c>
      <c r="G72" s="400" t="e">
        <f>(J56*$C$39)/(2*$G$34*SQRT(3))</f>
        <v>#DIV/0!</v>
      </c>
      <c r="H72" s="400" t="e">
        <f>(J57*$C$39)/(2*$G$34*SQRT(3))</f>
        <v>#DIV/0!</v>
      </c>
      <c r="I72" s="400" t="e">
        <f>(J58*$C$39)/(2*$G$34*SQRT(3))</f>
        <v>#DIV/0!</v>
      </c>
      <c r="J72" s="400" t="e">
        <f>(J59*$C$39)/(2*$G$34*SQRT(3))</f>
        <v>#DIV/0!</v>
      </c>
      <c r="K72" s="161" t="s">
        <v>52</v>
      </c>
      <c r="L72" s="162">
        <v>100</v>
      </c>
    </row>
    <row r="73" spans="1:15" ht="35.1" customHeight="1" x14ac:dyDescent="0.2">
      <c r="A73" s="709" t="s">
        <v>22</v>
      </c>
      <c r="B73" s="710"/>
      <c r="C73" s="731"/>
      <c r="D73" s="731"/>
      <c r="E73" s="732"/>
      <c r="F73" s="160" t="e">
        <f>$F$48/SQRT($K$43)</f>
        <v>#DIV/0!</v>
      </c>
      <c r="G73" s="160" t="e">
        <f t="shared" ref="G73:J73" si="11">$F$48/SQRT($K$43)</f>
        <v>#DIV/0!</v>
      </c>
      <c r="H73" s="160" t="e">
        <f t="shared" si="11"/>
        <v>#DIV/0!</v>
      </c>
      <c r="I73" s="160" t="e">
        <f t="shared" si="11"/>
        <v>#DIV/0!</v>
      </c>
      <c r="J73" s="160" t="e">
        <f t="shared" si="11"/>
        <v>#DIV/0!</v>
      </c>
      <c r="K73" s="163" t="s">
        <v>53</v>
      </c>
      <c r="L73" s="164">
        <f>K43-1</f>
        <v>9</v>
      </c>
    </row>
    <row r="74" spans="1:15" ht="35.1" customHeight="1" x14ac:dyDescent="0.2">
      <c r="A74" s="709" t="s">
        <v>24</v>
      </c>
      <c r="B74" s="710"/>
      <c r="C74" s="704"/>
      <c r="D74" s="704"/>
      <c r="E74" s="704"/>
      <c r="F74" s="160" t="e">
        <f>($D$14*1000)/SQRT(6)</f>
        <v>#N/A</v>
      </c>
      <c r="G74" s="160" t="e">
        <f>($D$14*1000)/SQRT(6)</f>
        <v>#N/A</v>
      </c>
      <c r="H74" s="160" t="e">
        <f>($D$14*1000)/SQRT(6)</f>
        <v>#N/A</v>
      </c>
      <c r="I74" s="160" t="e">
        <f t="shared" ref="I74:J74" si="12">($D$14*1000)/SQRT(6)</f>
        <v>#N/A</v>
      </c>
      <c r="J74" s="160" t="e">
        <f t="shared" si="12"/>
        <v>#N/A</v>
      </c>
      <c r="K74" s="163" t="s">
        <v>52</v>
      </c>
      <c r="L74" s="164">
        <v>100</v>
      </c>
    </row>
    <row r="75" spans="1:15" ht="35.1" customHeight="1" thickBot="1" x14ac:dyDescent="0.25">
      <c r="A75" s="145"/>
      <c r="B75" s="145"/>
      <c r="C75" s="706"/>
      <c r="D75" s="707"/>
      <c r="E75" s="708"/>
      <c r="F75" s="165" t="e">
        <f>SQRT((F72)^2+(F73)^2+(F74)^2)</f>
        <v>#DIV/0!</v>
      </c>
      <c r="G75" s="165" t="e">
        <f t="shared" ref="G75:J75" si="13">SQRT((G72)^2+(G73)^2+(G74)^2)</f>
        <v>#DIV/0!</v>
      </c>
      <c r="H75" s="165" t="e">
        <f t="shared" si="13"/>
        <v>#DIV/0!</v>
      </c>
      <c r="I75" s="165" t="e">
        <f t="shared" si="13"/>
        <v>#DIV/0!</v>
      </c>
      <c r="J75" s="165" t="e">
        <f t="shared" si="13"/>
        <v>#DIV/0!</v>
      </c>
      <c r="K75" s="163" t="s">
        <v>53</v>
      </c>
      <c r="L75" s="90"/>
    </row>
    <row r="76" spans="1:15" ht="35.1" customHeight="1" thickBot="1" x14ac:dyDescent="0.25">
      <c r="A76" s="145"/>
      <c r="B76" s="145"/>
      <c r="C76" s="145"/>
      <c r="D76" s="145"/>
      <c r="F76" s="690" t="s">
        <v>118</v>
      </c>
      <c r="G76" s="691"/>
      <c r="H76" s="691"/>
      <c r="I76" s="691"/>
      <c r="J76" s="692"/>
      <c r="K76" s="84"/>
    </row>
    <row r="77" spans="1:15" ht="35.1" customHeight="1" x14ac:dyDescent="0.2">
      <c r="A77" s="709" t="s">
        <v>25</v>
      </c>
      <c r="B77" s="710"/>
      <c r="C77" s="682"/>
      <c r="D77" s="682"/>
      <c r="E77" s="683"/>
      <c r="F77" s="166" t="e">
        <f>I21/L32</f>
        <v>#N/A</v>
      </c>
      <c r="G77" s="166" t="e">
        <f>I22/L32</f>
        <v>#N/A</v>
      </c>
      <c r="H77" s="166" t="e">
        <f>I23/L32</f>
        <v>#N/A</v>
      </c>
      <c r="I77" s="166" t="e">
        <f>I24/L32</f>
        <v>#N/A</v>
      </c>
      <c r="J77" s="166" t="e">
        <f>I25/L32</f>
        <v>#N/A</v>
      </c>
      <c r="K77" s="143" t="s">
        <v>53</v>
      </c>
      <c r="L77" s="164">
        <v>100</v>
      </c>
    </row>
    <row r="78" spans="1:15" ht="35.1" customHeight="1" x14ac:dyDescent="0.2">
      <c r="A78" s="728" t="s">
        <v>26</v>
      </c>
      <c r="B78" s="728"/>
      <c r="C78" s="682"/>
      <c r="D78" s="682"/>
      <c r="E78" s="683"/>
      <c r="F78" s="167" t="e">
        <f>(3*I21)/(4*SQRT(3))</f>
        <v>#N/A</v>
      </c>
      <c r="G78" s="167" t="e">
        <f>(3*I22)/(4*SQRT(3))</f>
        <v>#N/A</v>
      </c>
      <c r="H78" s="167" t="e">
        <f>(3*I23)/(4*SQRT(3))</f>
        <v>#N/A</v>
      </c>
      <c r="I78" s="167" t="e">
        <f>(3*I24)/(4*SQRT(3))</f>
        <v>#N/A</v>
      </c>
      <c r="J78" s="167" t="e">
        <f>(3*I25)/(4*SQRT(3))</f>
        <v>#N/A</v>
      </c>
      <c r="K78" s="143" t="s">
        <v>52</v>
      </c>
      <c r="L78" s="162">
        <v>100</v>
      </c>
    </row>
    <row r="79" spans="1:15" ht="35.1" customHeight="1" x14ac:dyDescent="0.2">
      <c r="A79" s="709" t="s">
        <v>32</v>
      </c>
      <c r="B79" s="710"/>
      <c r="C79" s="682"/>
      <c r="D79" s="682"/>
      <c r="E79" s="683"/>
      <c r="F79" s="167" t="e">
        <f>I21/SQRT(3)</f>
        <v>#N/A</v>
      </c>
      <c r="G79" s="167" t="e">
        <f>I22/SQRT(3)</f>
        <v>#N/A</v>
      </c>
      <c r="H79" s="167" t="e">
        <f>I23/SQRT(3)</f>
        <v>#N/A</v>
      </c>
      <c r="I79" s="167" t="e">
        <f>I24/SQRT(3)</f>
        <v>#N/A</v>
      </c>
      <c r="J79" s="167" t="e">
        <f>I25/SQRT(3)</f>
        <v>#N/A</v>
      </c>
      <c r="K79" s="143" t="s">
        <v>52</v>
      </c>
      <c r="L79" s="164">
        <v>100</v>
      </c>
    </row>
    <row r="80" spans="1:15" ht="35.1" customHeight="1" thickBot="1" x14ac:dyDescent="0.25">
      <c r="C80" s="727"/>
      <c r="D80" s="727"/>
      <c r="E80" s="727"/>
      <c r="F80" s="168" t="e">
        <f>SQRT(F77^2+F78^2+F79^2)</f>
        <v>#N/A</v>
      </c>
      <c r="G80" s="168" t="e">
        <f t="shared" ref="G80:J80" si="14">SQRT(G77^2+G78^2+G79^2)</f>
        <v>#N/A</v>
      </c>
      <c r="H80" s="168" t="e">
        <f t="shared" si="14"/>
        <v>#N/A</v>
      </c>
      <c r="I80" s="168" t="e">
        <f t="shared" si="14"/>
        <v>#N/A</v>
      </c>
      <c r="J80" s="168" t="e">
        <f t="shared" si="14"/>
        <v>#N/A</v>
      </c>
      <c r="K80" s="143" t="s">
        <v>53</v>
      </c>
      <c r="L80" s="89"/>
    </row>
    <row r="81" spans="1:11" ht="35.1" customHeight="1" thickBot="1" x14ac:dyDescent="0.25">
      <c r="C81" s="84"/>
      <c r="D81" s="84"/>
      <c r="F81" s="690" t="s">
        <v>117</v>
      </c>
      <c r="G81" s="691"/>
      <c r="H81" s="691"/>
      <c r="I81" s="691"/>
      <c r="J81" s="692"/>
      <c r="K81" s="84"/>
    </row>
    <row r="82" spans="1:11" ht="35.1" customHeight="1" thickBot="1" x14ac:dyDescent="0.25">
      <c r="B82" s="84"/>
      <c r="C82" s="169"/>
      <c r="D82" s="170"/>
      <c r="E82" s="171"/>
      <c r="F82" s="172" t="e">
        <f>SQRT((F75)^2+(F80)^2)</f>
        <v>#DIV/0!</v>
      </c>
      <c r="G82" s="173" t="e">
        <f t="shared" ref="G82:J82" si="15">SQRT((G75)^2+(G80)^2)</f>
        <v>#DIV/0!</v>
      </c>
      <c r="H82" s="173" t="e">
        <f t="shared" si="15"/>
        <v>#DIV/0!</v>
      </c>
      <c r="I82" s="173" t="e">
        <f t="shared" si="15"/>
        <v>#DIV/0!</v>
      </c>
      <c r="J82" s="174" t="e">
        <f t="shared" si="15"/>
        <v>#DIV/0!</v>
      </c>
      <c r="K82" s="84"/>
    </row>
    <row r="83" spans="1:11" s="90" customFormat="1" ht="9.9499999999999993" customHeight="1" thickBot="1" x14ac:dyDescent="0.25">
      <c r="A83" s="175"/>
      <c r="B83" s="175"/>
      <c r="D83" s="154"/>
    </row>
    <row r="84" spans="1:11" s="137" customFormat="1" ht="35.1" customHeight="1" thickBot="1" x14ac:dyDescent="0.25">
      <c r="F84" s="671" t="s">
        <v>29</v>
      </c>
      <c r="G84" s="672"/>
      <c r="H84" s="672"/>
      <c r="I84" s="672"/>
      <c r="J84" s="673"/>
    </row>
    <row r="85" spans="1:11" ht="35.1" customHeight="1" x14ac:dyDescent="0.2">
      <c r="B85" s="84"/>
      <c r="C85" s="176"/>
      <c r="D85" s="176"/>
      <c r="F85" s="689" t="s">
        <v>58</v>
      </c>
      <c r="G85" s="689"/>
      <c r="H85" s="689"/>
      <c r="I85" s="689"/>
      <c r="J85" s="689"/>
    </row>
    <row r="86" spans="1:11" ht="35.1" customHeight="1" x14ac:dyDescent="0.2">
      <c r="A86" s="702" t="s">
        <v>111</v>
      </c>
      <c r="B86" s="703"/>
      <c r="C86" s="703"/>
      <c r="D86" s="725"/>
      <c r="E86" s="726"/>
      <c r="F86" s="177">
        <v>100</v>
      </c>
      <c r="G86" s="177">
        <v>100</v>
      </c>
      <c r="H86" s="177">
        <v>100</v>
      </c>
      <c r="I86" s="177">
        <v>100</v>
      </c>
      <c r="J86" s="177">
        <v>100</v>
      </c>
    </row>
    <row r="87" spans="1:11" ht="35.1" customHeight="1" x14ac:dyDescent="0.2">
      <c r="A87" s="702" t="s">
        <v>112</v>
      </c>
      <c r="B87" s="703"/>
      <c r="C87" s="703"/>
      <c r="D87" s="725"/>
      <c r="E87" s="726"/>
      <c r="F87" s="178">
        <f>$K$43-1</f>
        <v>9</v>
      </c>
      <c r="G87" s="177">
        <f t="shared" ref="G87:J87" si="16">$K$43-1</f>
        <v>9</v>
      </c>
      <c r="H87" s="177">
        <f t="shared" si="16"/>
        <v>9</v>
      </c>
      <c r="I87" s="177">
        <f t="shared" si="16"/>
        <v>9</v>
      </c>
      <c r="J87" s="177">
        <f t="shared" si="16"/>
        <v>9</v>
      </c>
    </row>
    <row r="88" spans="1:11" ht="35.1" customHeight="1" x14ac:dyDescent="0.2">
      <c r="A88" s="702" t="s">
        <v>113</v>
      </c>
      <c r="B88" s="703"/>
      <c r="C88" s="703"/>
      <c r="D88" s="725"/>
      <c r="E88" s="726"/>
      <c r="F88" s="178">
        <v>100</v>
      </c>
      <c r="G88" s="177">
        <v>100</v>
      </c>
      <c r="H88" s="177">
        <v>100</v>
      </c>
      <c r="I88" s="177">
        <v>100</v>
      </c>
      <c r="J88" s="177">
        <v>100</v>
      </c>
    </row>
    <row r="89" spans="1:11" ht="50.1" customHeight="1" thickBot="1" x14ac:dyDescent="0.25">
      <c r="B89" s="179"/>
      <c r="C89" s="180"/>
      <c r="D89" s="171"/>
      <c r="E89" s="181"/>
      <c r="F89" s="182" t="e">
        <f>F75^4/(F72^4/100+(F73^4/(K43-1))+(F74^4/100))</f>
        <v>#DIV/0!</v>
      </c>
      <c r="G89" s="183" t="e">
        <f>G75^4/(G72^4/100+(G73^4/(K43-1))+(G74^4/100))</f>
        <v>#DIV/0!</v>
      </c>
      <c r="H89" s="183" t="e">
        <f>H75^4/(H72^4/100+(H73^4/(K43-1))+(H74^4/100))</f>
        <v>#DIV/0!</v>
      </c>
      <c r="I89" s="183" t="e">
        <f>I75^4/(I72^4/100+(I73^4/(K43-1))+(I74^4/100))</f>
        <v>#DIV/0!</v>
      </c>
      <c r="J89" s="183" t="e">
        <f>J75^4/(J72^4/100+(J73^4/(K43-1))+(J74^4/100))</f>
        <v>#DIV/0!</v>
      </c>
    </row>
    <row r="90" spans="1:11" ht="35.1" customHeight="1" thickBot="1" x14ac:dyDescent="0.25">
      <c r="B90" s="84"/>
      <c r="C90" s="123"/>
      <c r="D90" s="123"/>
      <c r="E90" s="123"/>
      <c r="F90" s="699" t="s">
        <v>57</v>
      </c>
      <c r="G90" s="700"/>
      <c r="H90" s="700"/>
      <c r="I90" s="700"/>
      <c r="J90" s="701"/>
      <c r="K90" s="84"/>
    </row>
    <row r="91" spans="1:11" ht="35.1" customHeight="1" x14ac:dyDescent="0.2">
      <c r="A91" s="702" t="s">
        <v>114</v>
      </c>
      <c r="B91" s="703"/>
      <c r="C91" s="703"/>
      <c r="D91" s="704"/>
      <c r="E91" s="705"/>
      <c r="F91" s="184">
        <v>100</v>
      </c>
      <c r="G91" s="185">
        <v>100</v>
      </c>
      <c r="H91" s="185">
        <v>100</v>
      </c>
      <c r="I91" s="185">
        <v>100</v>
      </c>
      <c r="J91" s="185">
        <v>100</v>
      </c>
      <c r="K91" s="84"/>
    </row>
    <row r="92" spans="1:11" ht="35.1" customHeight="1" x14ac:dyDescent="0.2">
      <c r="A92" s="702" t="s">
        <v>115</v>
      </c>
      <c r="B92" s="703"/>
      <c r="C92" s="703"/>
      <c r="D92" s="704"/>
      <c r="E92" s="705"/>
      <c r="F92" s="178">
        <v>100</v>
      </c>
      <c r="G92" s="177">
        <v>100</v>
      </c>
      <c r="H92" s="177">
        <v>100</v>
      </c>
      <c r="I92" s="177">
        <v>100</v>
      </c>
      <c r="J92" s="177">
        <v>100</v>
      </c>
      <c r="K92" s="84"/>
    </row>
    <row r="93" spans="1:11" ht="35.1" customHeight="1" x14ac:dyDescent="0.2">
      <c r="A93" s="702" t="s">
        <v>116</v>
      </c>
      <c r="B93" s="703"/>
      <c r="C93" s="703"/>
      <c r="D93" s="704"/>
      <c r="E93" s="705"/>
      <c r="F93" s="178">
        <v>100</v>
      </c>
      <c r="G93" s="177">
        <v>100</v>
      </c>
      <c r="H93" s="177">
        <v>100</v>
      </c>
      <c r="I93" s="177">
        <v>100</v>
      </c>
      <c r="J93" s="177">
        <v>100</v>
      </c>
      <c r="K93" s="84"/>
    </row>
    <row r="94" spans="1:11" ht="50.1" customHeight="1" thickBot="1" x14ac:dyDescent="0.25">
      <c r="B94" s="724"/>
      <c r="C94" s="724"/>
      <c r="D94" s="724"/>
      <c r="E94" s="724"/>
      <c r="F94" s="183" t="e">
        <f>F80^4/((F77^4/100)+(F78^4/100)+(F79^4/100))</f>
        <v>#N/A</v>
      </c>
      <c r="G94" s="183" t="e">
        <f>G80^4/((G77^4/100)+(G78^4/100)+(G79^4/100))</f>
        <v>#N/A</v>
      </c>
      <c r="H94" s="183" t="e">
        <f>H80^4/((H77^4/100)+(H78^4/100)+(H79^4/100))</f>
        <v>#N/A</v>
      </c>
      <c r="I94" s="183" t="e">
        <f>I80^4/((I77^4/100)+(I78^4/100)+(I79^4/100))</f>
        <v>#N/A</v>
      </c>
      <c r="J94" s="183" t="e">
        <f>J80^4/((J77^4/100)+(J78^4/100)+(J79^4/100))</f>
        <v>#N/A</v>
      </c>
      <c r="K94" s="84"/>
    </row>
    <row r="95" spans="1:11" ht="35.1" customHeight="1" thickBot="1" x14ac:dyDescent="0.25">
      <c r="B95" s="84"/>
      <c r="C95" s="84"/>
      <c r="D95" s="84"/>
      <c r="E95" s="84"/>
      <c r="F95" s="677" t="s">
        <v>30</v>
      </c>
      <c r="G95" s="678"/>
      <c r="H95" s="678"/>
      <c r="I95" s="678"/>
      <c r="J95" s="679"/>
      <c r="K95" s="84"/>
    </row>
    <row r="96" spans="1:11" ht="50.1" customHeight="1" x14ac:dyDescent="0.2">
      <c r="B96" s="90"/>
      <c r="C96" s="681"/>
      <c r="D96" s="682"/>
      <c r="E96" s="683"/>
      <c r="F96" s="186" t="e">
        <f>F82^4/((F75^4/F89)+(F80^4/F94))</f>
        <v>#DIV/0!</v>
      </c>
      <c r="G96" s="187" t="e">
        <f>G82^4/((G75^4/G89)+(G80^4/G94))</f>
        <v>#DIV/0!</v>
      </c>
      <c r="H96" s="187" t="e">
        <f>H82^4/((H75^4/H89)+(H80^4/H94))</f>
        <v>#DIV/0!</v>
      </c>
      <c r="I96" s="187" t="e">
        <f>I82^4/((I75^4/I89)+(I80^4/I94))</f>
        <v>#DIV/0!</v>
      </c>
      <c r="J96" s="187" t="e">
        <f>J82^4/((J75^4/J89)+(J80^4/J94))</f>
        <v>#DIV/0!</v>
      </c>
      <c r="K96" s="84"/>
    </row>
    <row r="97" spans="1:13" s="90" customFormat="1" ht="9.9499999999999993" customHeight="1" thickBot="1" x14ac:dyDescent="0.25">
      <c r="B97" s="175"/>
      <c r="C97" s="175"/>
      <c r="E97" s="154"/>
    </row>
    <row r="98" spans="1:13" ht="35.1" customHeight="1" thickBot="1" x14ac:dyDescent="0.25">
      <c r="B98" s="84"/>
      <c r="C98" s="84"/>
      <c r="D98" s="84"/>
      <c r="E98" s="84"/>
      <c r="F98" s="677" t="s">
        <v>31</v>
      </c>
      <c r="G98" s="678"/>
      <c r="H98" s="678"/>
      <c r="I98" s="678"/>
      <c r="J98" s="679"/>
      <c r="K98" s="84"/>
    </row>
    <row r="99" spans="1:13" ht="35.1" customHeight="1" x14ac:dyDescent="0.2">
      <c r="B99" s="179"/>
      <c r="C99" s="188"/>
      <c r="D99" s="180"/>
      <c r="E99" s="189"/>
      <c r="F99" s="190" t="e">
        <f>_xlfn.T.INV.2T(100%-$I$101,F96)</f>
        <v>#DIV/0!</v>
      </c>
      <c r="G99" s="190" t="e">
        <f>_xlfn.T.INV.2T(100%-$I$101,G96)</f>
        <v>#DIV/0!</v>
      </c>
      <c r="H99" s="190" t="e">
        <f>_xlfn.T.INV.2T(100%-$I$101,H96)</f>
        <v>#DIV/0!</v>
      </c>
      <c r="I99" s="190" t="e">
        <f>_xlfn.T.INV.2T(100%-$I$101,I96)</f>
        <v>#DIV/0!</v>
      </c>
      <c r="J99" s="190" t="e">
        <f>_xlfn.T.INV.2T(100%-$I$101,J96)</f>
        <v>#DIV/0!</v>
      </c>
      <c r="K99" s="84"/>
    </row>
    <row r="100" spans="1:13" ht="9.9499999999999993" customHeight="1" thickBot="1" x14ac:dyDescent="0.25">
      <c r="K100" s="84"/>
    </row>
    <row r="101" spans="1:13" ht="35.1" customHeight="1" thickBot="1" x14ac:dyDescent="0.25">
      <c r="F101" s="696" t="s">
        <v>59</v>
      </c>
      <c r="G101" s="697"/>
      <c r="H101" s="698"/>
      <c r="I101" s="191">
        <v>0.95450000000000002</v>
      </c>
      <c r="L101" s="89"/>
    </row>
    <row r="102" spans="1:13" s="137" customFormat="1" ht="9.9499999999999993" customHeight="1" x14ac:dyDescent="0.2">
      <c r="F102" s="192"/>
      <c r="G102" s="192"/>
      <c r="H102" s="192"/>
      <c r="I102" s="193"/>
      <c r="J102" s="193"/>
    </row>
    <row r="103" spans="1:13" s="137" customFormat="1" ht="35.1" customHeight="1" x14ac:dyDescent="0.2">
      <c r="B103" s="680" t="s">
        <v>64</v>
      </c>
      <c r="C103" s="680"/>
      <c r="D103" s="680"/>
      <c r="E103" s="194"/>
      <c r="F103" s="195" t="e">
        <f>F82*F99</f>
        <v>#DIV/0!</v>
      </c>
      <c r="G103" s="195" t="e">
        <f>G82*G99</f>
        <v>#DIV/0!</v>
      </c>
      <c r="H103" s="195" t="e">
        <f>H82*H99</f>
        <v>#DIV/0!</v>
      </c>
      <c r="I103" s="195" t="e">
        <f>I82*I99</f>
        <v>#DIV/0!</v>
      </c>
      <c r="J103" s="252" t="e">
        <f>J82*J99</f>
        <v>#DIV/0!</v>
      </c>
    </row>
    <row r="104" spans="1:13" s="137" customFormat="1" ht="35.1" customHeight="1" x14ac:dyDescent="0.2">
      <c r="B104" s="680" t="s">
        <v>64</v>
      </c>
      <c r="C104" s="680"/>
      <c r="D104" s="680"/>
      <c r="E104" s="194"/>
      <c r="F104" s="195" t="e">
        <f>F103/1000</f>
        <v>#DIV/0!</v>
      </c>
      <c r="G104" s="195" t="e">
        <f t="shared" ref="G104:J104" si="17">G103/1000</f>
        <v>#DIV/0!</v>
      </c>
      <c r="H104" s="195" t="e">
        <f t="shared" si="17"/>
        <v>#DIV/0!</v>
      </c>
      <c r="I104" s="195" t="e">
        <f t="shared" si="17"/>
        <v>#DIV/0!</v>
      </c>
      <c r="J104" s="195" t="e">
        <f t="shared" si="17"/>
        <v>#DIV/0!</v>
      </c>
    </row>
    <row r="105" spans="1:13" s="137" customFormat="1" ht="9.9499999999999993" customHeight="1" thickBot="1" x14ac:dyDescent="0.25">
      <c r="E105" s="192"/>
      <c r="F105" s="192"/>
      <c r="G105" s="192"/>
      <c r="H105" s="193"/>
      <c r="I105" s="193"/>
      <c r="J105" s="196"/>
      <c r="K105" s="196"/>
      <c r="L105" s="196"/>
      <c r="M105" s="196"/>
    </row>
    <row r="106" spans="1:13" s="137" customFormat="1" ht="35.1" customHeight="1" thickBot="1" x14ac:dyDescent="0.25">
      <c r="A106" s="677" t="s">
        <v>35</v>
      </c>
      <c r="B106" s="678"/>
      <c r="C106" s="678"/>
      <c r="D106" s="678"/>
      <c r="E106" s="678"/>
      <c r="F106" s="678"/>
      <c r="G106" s="679"/>
      <c r="I106" s="714" t="s">
        <v>127</v>
      </c>
      <c r="J106" s="715"/>
      <c r="K106" s="716"/>
    </row>
    <row r="107" spans="1:13" s="137" customFormat="1" ht="35.1" customHeight="1" x14ac:dyDescent="0.2">
      <c r="A107" s="197" t="s">
        <v>37</v>
      </c>
      <c r="B107" s="197" t="s">
        <v>38</v>
      </c>
      <c r="C107" s="197" t="s">
        <v>172</v>
      </c>
      <c r="D107" s="197" t="s">
        <v>173</v>
      </c>
      <c r="E107" s="198" t="s">
        <v>41</v>
      </c>
      <c r="F107" s="199"/>
      <c r="G107" s="717" t="s">
        <v>174</v>
      </c>
      <c r="I107" s="711"/>
      <c r="J107" s="712"/>
      <c r="K107" s="713"/>
    </row>
    <row r="108" spans="1:13" s="137" customFormat="1" ht="35.1" customHeight="1" x14ac:dyDescent="0.2">
      <c r="A108" s="200"/>
      <c r="B108" s="200"/>
      <c r="C108" s="200"/>
      <c r="D108" s="200"/>
      <c r="E108" s="201"/>
      <c r="F108" s="202"/>
      <c r="G108" s="717"/>
      <c r="I108" s="684"/>
      <c r="J108" s="685"/>
      <c r="K108" s="686"/>
    </row>
    <row r="109" spans="1:13" s="137" customFormat="1" ht="35.1" customHeight="1" x14ac:dyDescent="0.2">
      <c r="A109" s="203" t="e">
        <f>(1/F82)^2</f>
        <v>#DIV/0!</v>
      </c>
      <c r="B109" s="203" t="e">
        <f>A109*J55*L55</f>
        <v>#DIV/0!</v>
      </c>
      <c r="C109" s="203" t="e">
        <f>(J55)^2*A109</f>
        <v>#DIV/0!</v>
      </c>
      <c r="D109" s="203" t="e">
        <f>((($B$117*$E$118)+($B$118*(J55^2))))</f>
        <v>#DIV/0!</v>
      </c>
      <c r="E109" s="204" t="e">
        <f>SQRT($E$118+D109)</f>
        <v>#N/A</v>
      </c>
      <c r="F109" s="205"/>
      <c r="G109" s="206" t="e">
        <f>A109*($B$116*J55-L55)^2</f>
        <v>#DIV/0!</v>
      </c>
      <c r="I109" s="684"/>
      <c r="J109" s="685"/>
      <c r="K109" s="686"/>
    </row>
    <row r="110" spans="1:13" s="137" customFormat="1" ht="35.1" customHeight="1" x14ac:dyDescent="0.2">
      <c r="A110" s="203" t="e">
        <f>(1/G82)^2</f>
        <v>#DIV/0!</v>
      </c>
      <c r="B110" s="203" t="e">
        <f>A110*J56*L56</f>
        <v>#DIV/0!</v>
      </c>
      <c r="C110" s="203" t="e">
        <f>(J56)^2*A110</f>
        <v>#DIV/0!</v>
      </c>
      <c r="D110" s="203" t="e">
        <f>$B$117*$E$118+$B$118*J56^2</f>
        <v>#DIV/0!</v>
      </c>
      <c r="E110" s="204" t="e">
        <f>SQRT($E$118+D110)</f>
        <v>#N/A</v>
      </c>
      <c r="F110" s="207"/>
      <c r="G110" s="206" t="e">
        <f>A110*($B$116*J56-L56)^2</f>
        <v>#DIV/0!</v>
      </c>
      <c r="I110" s="684"/>
      <c r="J110" s="685"/>
      <c r="K110" s="686"/>
    </row>
    <row r="111" spans="1:13" s="137" customFormat="1" ht="35.1" customHeight="1" x14ac:dyDescent="0.2">
      <c r="A111" s="203" t="e">
        <f>(1/H82)^2</f>
        <v>#DIV/0!</v>
      </c>
      <c r="B111" s="203" t="e">
        <f>A111*J57*L57</f>
        <v>#DIV/0!</v>
      </c>
      <c r="C111" s="203" t="e">
        <f>(J57)^2*A111</f>
        <v>#DIV/0!</v>
      </c>
      <c r="D111" s="203" t="e">
        <f>$B$117*$E$118+$B$118*J57^2</f>
        <v>#DIV/0!</v>
      </c>
      <c r="E111" s="204" t="e">
        <f>SQRT($E$118+D111)</f>
        <v>#N/A</v>
      </c>
      <c r="F111" s="208"/>
      <c r="G111" s="206" t="e">
        <f>A111*($B$116*J57-L57)^2</f>
        <v>#DIV/0!</v>
      </c>
      <c r="I111" s="684"/>
      <c r="J111" s="685"/>
      <c r="K111" s="686"/>
    </row>
    <row r="112" spans="1:13" s="137" customFormat="1" ht="35.1" customHeight="1" x14ac:dyDescent="0.2">
      <c r="A112" s="203" t="e">
        <f>(1/I82)^2</f>
        <v>#DIV/0!</v>
      </c>
      <c r="B112" s="203" t="e">
        <f>A112*J58*L58</f>
        <v>#DIV/0!</v>
      </c>
      <c r="C112" s="203" t="e">
        <f>(J58)^2*A112</f>
        <v>#DIV/0!</v>
      </c>
      <c r="D112" s="203" t="e">
        <f>$B$117*$E$118+$B$118*J58^2</f>
        <v>#DIV/0!</v>
      </c>
      <c r="E112" s="204" t="e">
        <f>SQRT($E$118+D112)</f>
        <v>#N/A</v>
      </c>
      <c r="F112" s="207"/>
      <c r="G112" s="206" t="e">
        <f>A112*($B$116*J58-L58)^2</f>
        <v>#DIV/0!</v>
      </c>
      <c r="I112" s="684"/>
      <c r="J112" s="685"/>
      <c r="K112" s="686"/>
    </row>
    <row r="113" spans="1:12" s="137" customFormat="1" ht="35.1" customHeight="1" x14ac:dyDescent="0.2">
      <c r="A113" s="203" t="e">
        <f>(1/J82)^2</f>
        <v>#DIV/0!</v>
      </c>
      <c r="B113" s="203" t="e">
        <f>A113*J59*L59</f>
        <v>#DIV/0!</v>
      </c>
      <c r="C113" s="203" t="e">
        <f>(J59)^2*A113</f>
        <v>#DIV/0!</v>
      </c>
      <c r="D113" s="203" t="e">
        <f>$B$117*$E$118+$B$118*J59^2</f>
        <v>#DIV/0!</v>
      </c>
      <c r="E113" s="204" t="e">
        <f>SQRT($E$118+D113)</f>
        <v>#N/A</v>
      </c>
      <c r="F113" s="207"/>
      <c r="G113" s="206" t="e">
        <f>A113*($B$116*J59-L59)^2</f>
        <v>#DIV/0!</v>
      </c>
      <c r="I113" s="684"/>
      <c r="J113" s="685"/>
      <c r="K113" s="686"/>
    </row>
    <row r="114" spans="1:12" s="89" customFormat="1" ht="27" customHeight="1" x14ac:dyDescent="0.25">
      <c r="A114" s="248" t="s">
        <v>39</v>
      </c>
      <c r="B114" s="209" t="e">
        <f t="shared" ref="B114" si="18">SUM(B109:B113)</f>
        <v>#DIV/0!</v>
      </c>
      <c r="C114" s="209" t="e">
        <f>SUM(C109:C113)</f>
        <v>#DIV/0!</v>
      </c>
      <c r="D114" s="210"/>
      <c r="E114" s="211" t="s">
        <v>175</v>
      </c>
      <c r="F114" s="212"/>
      <c r="G114" s="213" t="e">
        <f>SUM(G109:G113)</f>
        <v>#DIV/0!</v>
      </c>
      <c r="I114" s="684"/>
      <c r="J114" s="685"/>
      <c r="K114" s="686"/>
    </row>
    <row r="115" spans="1:12" s="89" customFormat="1" ht="9.9499999999999993" customHeight="1" x14ac:dyDescent="0.2">
      <c r="B115" s="210"/>
      <c r="C115" s="210"/>
      <c r="D115" s="210"/>
      <c r="E115" s="210"/>
      <c r="F115" s="210"/>
      <c r="G115" s="210"/>
    </row>
    <row r="116" spans="1:12" ht="35.1" customHeight="1" x14ac:dyDescent="0.2">
      <c r="A116" s="214" t="s">
        <v>176</v>
      </c>
      <c r="B116" s="203" t="e">
        <f>(B114/C114)</f>
        <v>#DIV/0!</v>
      </c>
      <c r="F116" s="215" t="s">
        <v>44</v>
      </c>
      <c r="G116" s="177">
        <v>2</v>
      </c>
      <c r="I116" s="216"/>
      <c r="J116" s="216"/>
      <c r="K116" s="216"/>
    </row>
    <row r="117" spans="1:12" ht="35.1" customHeight="1" x14ac:dyDescent="0.2">
      <c r="A117" s="217" t="s">
        <v>177</v>
      </c>
      <c r="B117" s="218" t="e">
        <f>B116^2</f>
        <v>#DIV/0!</v>
      </c>
      <c r="C117" s="219" t="s">
        <v>178</v>
      </c>
      <c r="D117" s="212"/>
      <c r="E117" s="218" t="e">
        <f>F48^2</f>
        <v>#DIV/0!</v>
      </c>
      <c r="F117" s="220" t="s">
        <v>45</v>
      </c>
      <c r="G117" s="221">
        <f>G26</f>
        <v>3</v>
      </c>
      <c r="I117" s="222" t="e">
        <f>ABS(G114-G117)</f>
        <v>#DIV/0!</v>
      </c>
      <c r="J117" s="223" t="s">
        <v>40</v>
      </c>
      <c r="K117" s="224">
        <f>G116*SQRT(2*G117)</f>
        <v>4.8989794855663558</v>
      </c>
    </row>
    <row r="118" spans="1:12" ht="35.1" customHeight="1" x14ac:dyDescent="0.2">
      <c r="A118" s="225" t="s">
        <v>123</v>
      </c>
      <c r="B118" s="218" t="e">
        <f>1/C114</f>
        <v>#DIV/0!</v>
      </c>
      <c r="C118" s="249" t="s">
        <v>179</v>
      </c>
      <c r="D118" s="250"/>
      <c r="E118" s="218" t="e">
        <f>((D14*1000)^2)/6+E117</f>
        <v>#N/A</v>
      </c>
      <c r="F118" s="215" t="s">
        <v>67</v>
      </c>
      <c r="G118" s="152" t="e">
        <f>MAX(F99:J99)</f>
        <v>#DIV/0!</v>
      </c>
      <c r="I118" s="688" t="e">
        <f>IF(I117&lt;=K117,"APROBADO","NO APROBADO")</f>
        <v>#DIV/0!</v>
      </c>
      <c r="J118" s="688"/>
      <c r="K118" s="688"/>
    </row>
    <row r="119" spans="1:12" ht="9.9499999999999993" customHeight="1" thickBot="1" x14ac:dyDescent="0.25"/>
    <row r="120" spans="1:12" ht="35.1" customHeight="1" thickBot="1" x14ac:dyDescent="0.25">
      <c r="A120" s="674" t="s">
        <v>122</v>
      </c>
      <c r="B120" s="675"/>
      <c r="C120" s="675"/>
      <c r="D120" s="675"/>
      <c r="E120" s="675"/>
      <c r="F120" s="675"/>
      <c r="G120" s="675"/>
      <c r="H120" s="675"/>
      <c r="I120" s="675"/>
      <c r="J120" s="675"/>
      <c r="K120" s="675"/>
      <c r="L120" s="676"/>
    </row>
    <row r="121" spans="1:12" ht="35.1" customHeight="1" x14ac:dyDescent="0.2">
      <c r="C121" s="401" t="s">
        <v>42</v>
      </c>
      <c r="D121" s="402" t="e">
        <f>SLOPE(E109:E113,G21:G25)</f>
        <v>#N/A</v>
      </c>
      <c r="E121" s="669" t="s">
        <v>124</v>
      </c>
      <c r="F121" s="670"/>
      <c r="G121" s="403" t="s">
        <v>77</v>
      </c>
      <c r="H121" s="404">
        <v>5</v>
      </c>
      <c r="I121" s="84"/>
      <c r="K121" s="84"/>
    </row>
    <row r="122" spans="1:12" ht="35.1" customHeight="1" x14ac:dyDescent="0.2">
      <c r="C122" s="226" t="s">
        <v>43</v>
      </c>
      <c r="D122" s="150" t="e">
        <f>INTERCEPT(E109:E113,G21:G25)</f>
        <v>#N/A</v>
      </c>
      <c r="E122" s="667" t="s">
        <v>125</v>
      </c>
      <c r="F122" s="668"/>
      <c r="G122" s="226" t="s">
        <v>78</v>
      </c>
      <c r="H122" s="227" t="e">
        <f>D121*H121+D122</f>
        <v>#N/A</v>
      </c>
    </row>
    <row r="123" spans="1:12" ht="35.1" customHeight="1" x14ac:dyDescent="0.2">
      <c r="L123" s="89"/>
    </row>
    <row r="124" spans="1:12" ht="35.1" customHeight="1" x14ac:dyDescent="0.2">
      <c r="J124" s="117" t="s">
        <v>71</v>
      </c>
      <c r="K124" s="117" t="s">
        <v>72</v>
      </c>
    </row>
    <row r="125" spans="1:12" ht="35.1" customHeight="1" x14ac:dyDescent="0.2">
      <c r="J125" s="228" t="e">
        <f>G21</f>
        <v>#N/A</v>
      </c>
      <c r="K125" s="229" t="e">
        <f>E109</f>
        <v>#N/A</v>
      </c>
    </row>
    <row r="126" spans="1:12" ht="35.1" customHeight="1" x14ac:dyDescent="0.2">
      <c r="I126" s="97"/>
      <c r="J126" s="230" t="e">
        <f>G22</f>
        <v>#N/A</v>
      </c>
      <c r="K126" s="231" t="e">
        <f>E110</f>
        <v>#N/A</v>
      </c>
    </row>
    <row r="127" spans="1:12" ht="35.1" customHeight="1" x14ac:dyDescent="0.2">
      <c r="I127" s="97"/>
      <c r="J127" s="230" t="e">
        <f>G23</f>
        <v>#N/A</v>
      </c>
      <c r="K127" s="231" t="e">
        <f>E111</f>
        <v>#N/A</v>
      </c>
    </row>
    <row r="128" spans="1:12" ht="35.1" customHeight="1" x14ac:dyDescent="0.2">
      <c r="I128" s="97"/>
      <c r="J128" s="230" t="e">
        <f>G24</f>
        <v>#N/A</v>
      </c>
      <c r="K128" s="231" t="e">
        <f>E112</f>
        <v>#N/A</v>
      </c>
    </row>
    <row r="129" spans="1:20" ht="35.1" customHeight="1" x14ac:dyDescent="0.2">
      <c r="A129" s="232"/>
      <c r="I129" s="97"/>
      <c r="J129" s="230" t="e">
        <f>G25</f>
        <v>#N/A</v>
      </c>
      <c r="K129" s="233" t="e">
        <f>E113</f>
        <v>#N/A</v>
      </c>
    </row>
    <row r="130" spans="1:20" ht="35.1" customHeight="1" x14ac:dyDescent="0.2">
      <c r="A130" s="232"/>
      <c r="I130" s="97"/>
      <c r="J130" s="97"/>
      <c r="K130" s="97"/>
      <c r="L130" s="97"/>
    </row>
    <row r="131" spans="1:20" ht="9.9499999999999993" customHeight="1" x14ac:dyDescent="0.2">
      <c r="A131" s="232"/>
      <c r="I131" s="234"/>
      <c r="J131" s="234"/>
      <c r="K131" s="234"/>
      <c r="L131" s="234"/>
    </row>
    <row r="132" spans="1:20" s="89" customFormat="1" ht="35.1" customHeight="1" x14ac:dyDescent="0.2">
      <c r="B132" s="235" t="s">
        <v>180</v>
      </c>
      <c r="C132" s="236"/>
      <c r="D132" s="237" t="e">
        <f>B116*E117</f>
        <v>#DIV/0!</v>
      </c>
      <c r="E132" s="238" t="s">
        <v>73</v>
      </c>
      <c r="F132" s="236" t="s">
        <v>181</v>
      </c>
      <c r="G132" s="218" t="e">
        <f>B118</f>
        <v>#DIV/0!</v>
      </c>
      <c r="I132" s="97"/>
      <c r="J132" s="97"/>
      <c r="K132" s="97"/>
      <c r="L132" s="97"/>
      <c r="M132" s="84"/>
      <c r="N132" s="84"/>
      <c r="O132" s="84"/>
      <c r="P132" s="84"/>
      <c r="Q132" s="84"/>
      <c r="R132" s="84"/>
      <c r="S132" s="84"/>
      <c r="T132" s="84"/>
    </row>
    <row r="133" spans="1:20" s="89" customFormat="1" ht="9.9499999999999993" customHeight="1" thickBot="1" x14ac:dyDescent="0.25">
      <c r="A133" s="84"/>
      <c r="D133" s="239"/>
      <c r="E133" s="240"/>
      <c r="M133" s="84"/>
      <c r="N133" s="84"/>
      <c r="O133" s="84"/>
      <c r="P133" s="84"/>
      <c r="Q133" s="84"/>
      <c r="R133" s="84"/>
      <c r="S133" s="84"/>
      <c r="T133" s="84"/>
    </row>
    <row r="134" spans="1:20" ht="35.1" customHeight="1" thickBot="1" x14ac:dyDescent="0.25">
      <c r="A134" s="671" t="s">
        <v>75</v>
      </c>
      <c r="B134" s="672"/>
      <c r="C134" s="672"/>
      <c r="D134" s="672"/>
      <c r="E134" s="672"/>
      <c r="F134" s="672"/>
      <c r="G134" s="672"/>
      <c r="H134" s="672"/>
      <c r="I134" s="672"/>
      <c r="J134" s="672"/>
      <c r="K134" s="672"/>
      <c r="L134" s="673"/>
    </row>
    <row r="135" spans="1:20" ht="35.1" customHeight="1" x14ac:dyDescent="0.2">
      <c r="B135" s="687" t="s">
        <v>68</v>
      </c>
      <c r="C135" s="687"/>
      <c r="D135" s="687"/>
      <c r="E135" s="125" t="s">
        <v>154</v>
      </c>
      <c r="F135" s="405" t="e">
        <f>B116</f>
        <v>#DIV/0!</v>
      </c>
      <c r="G135" s="406" t="s">
        <v>74</v>
      </c>
      <c r="H135" s="84"/>
      <c r="K135" s="84"/>
    </row>
    <row r="136" spans="1:20" ht="9.9499999999999993" customHeight="1" x14ac:dyDescent="0.2">
      <c r="K136" s="84"/>
    </row>
    <row r="137" spans="1:20" ht="35.1" customHeight="1" x14ac:dyDescent="0.2">
      <c r="B137" s="666" t="s">
        <v>69</v>
      </c>
      <c r="C137" s="666"/>
      <c r="D137" s="666"/>
      <c r="E137" s="130" t="s">
        <v>76</v>
      </c>
      <c r="F137" s="255" t="e">
        <f>D122*G118</f>
        <v>#N/A</v>
      </c>
      <c r="G137" s="238" t="s">
        <v>73</v>
      </c>
      <c r="H137" s="256" t="e">
        <f>D121*G118</f>
        <v>#N/A</v>
      </c>
      <c r="I137" s="251" t="s">
        <v>74</v>
      </c>
      <c r="J137" s="84"/>
      <c r="K137" s="84"/>
    </row>
    <row r="138" spans="1:20" ht="35.1" customHeight="1" x14ac:dyDescent="0.2">
      <c r="B138" s="666" t="s">
        <v>69</v>
      </c>
      <c r="C138" s="666"/>
      <c r="D138" s="666"/>
      <c r="E138" s="130" t="s">
        <v>76</v>
      </c>
      <c r="F138" s="255" t="e">
        <f>F137/1000</f>
        <v>#N/A</v>
      </c>
      <c r="G138" s="238" t="s">
        <v>73</v>
      </c>
      <c r="H138" s="256" t="e">
        <f>H137</f>
        <v>#N/A</v>
      </c>
      <c r="I138" s="251" t="s">
        <v>74</v>
      </c>
      <c r="J138" s="84"/>
      <c r="K138" s="84"/>
    </row>
    <row r="139" spans="1:20" ht="15" customHeight="1" x14ac:dyDescent="0.2"/>
    <row r="140" spans="1:20" ht="15" customHeight="1" x14ac:dyDescent="0.2"/>
    <row r="141" spans="1:20" ht="15" customHeight="1" x14ac:dyDescent="0.2"/>
  </sheetData>
  <sheetProtection algorithmName="SHA-512" hashValue="MKmFBrVAPSPCjpp8VkLYYi5pqQ1LSERlbHtmw/+/wwGSMKKhMrPHef0aBSdE+jqX3WXBaIWgpCzy+1svIPOuTg==" saltValue="fUMCSYHxs+vf7qJL9Gztww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1">
    <mergeCell ref="B63:C63"/>
    <mergeCell ref="B64:C64"/>
    <mergeCell ref="D62:E62"/>
    <mergeCell ref="F62:G62"/>
    <mergeCell ref="H62:I62"/>
    <mergeCell ref="K62:L62"/>
    <mergeCell ref="B104:D104"/>
    <mergeCell ref="B138:D138"/>
    <mergeCell ref="J5:J6"/>
    <mergeCell ref="F76:J76"/>
    <mergeCell ref="G13:H13"/>
    <mergeCell ref="B14:C14"/>
    <mergeCell ref="G12:H12"/>
    <mergeCell ref="G14:H14"/>
    <mergeCell ref="B15:C15"/>
    <mergeCell ref="G15:H15"/>
    <mergeCell ref="I15:J15"/>
    <mergeCell ref="H19:H20"/>
    <mergeCell ref="I19:I20"/>
    <mergeCell ref="J19:J20"/>
    <mergeCell ref="B21:C23"/>
    <mergeCell ref="B18:C20"/>
    <mergeCell ref="G18:J18"/>
    <mergeCell ref="F71:J71"/>
    <mergeCell ref="A1:B3"/>
    <mergeCell ref="B53:E53"/>
    <mergeCell ref="A66:L66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F29:G29"/>
    <mergeCell ref="K61:L61"/>
    <mergeCell ref="B13:C13"/>
    <mergeCell ref="B61:I61"/>
    <mergeCell ref="F68:J68"/>
    <mergeCell ref="G19:G20"/>
    <mergeCell ref="B41:K41"/>
    <mergeCell ref="A87:C87"/>
    <mergeCell ref="A86:C86"/>
    <mergeCell ref="B17:J17"/>
    <mergeCell ref="B94:E94"/>
    <mergeCell ref="D88:E88"/>
    <mergeCell ref="D86:E86"/>
    <mergeCell ref="D87:E87"/>
    <mergeCell ref="F81:J81"/>
    <mergeCell ref="C79:E79"/>
    <mergeCell ref="C80:E80"/>
    <mergeCell ref="A79:B79"/>
    <mergeCell ref="A88:C88"/>
    <mergeCell ref="A78:B78"/>
    <mergeCell ref="C77:E77"/>
    <mergeCell ref="A77:B77"/>
    <mergeCell ref="A72:E72"/>
    <mergeCell ref="A73:E73"/>
    <mergeCell ref="C24:D24"/>
    <mergeCell ref="B31:I31"/>
    <mergeCell ref="B33:G33"/>
    <mergeCell ref="F85:J85"/>
    <mergeCell ref="B52:L52"/>
    <mergeCell ref="G53:L53"/>
    <mergeCell ref="F84:J84"/>
    <mergeCell ref="I110:K110"/>
    <mergeCell ref="B71:D71"/>
    <mergeCell ref="F101:H101"/>
    <mergeCell ref="F95:J95"/>
    <mergeCell ref="F90:J90"/>
    <mergeCell ref="A91:C91"/>
    <mergeCell ref="A92:C92"/>
    <mergeCell ref="A93:C93"/>
    <mergeCell ref="D91:E91"/>
    <mergeCell ref="D92:E92"/>
    <mergeCell ref="D93:E93"/>
    <mergeCell ref="C78:E78"/>
    <mergeCell ref="C75:E75"/>
    <mergeCell ref="C74:E74"/>
    <mergeCell ref="I109:K109"/>
    <mergeCell ref="A74:B74"/>
    <mergeCell ref="I107:K107"/>
    <mergeCell ref="I108:K108"/>
    <mergeCell ref="I106:K106"/>
    <mergeCell ref="G107:G108"/>
    <mergeCell ref="B137:D137"/>
    <mergeCell ref="E122:F122"/>
    <mergeCell ref="E121:F121"/>
    <mergeCell ref="A134:L134"/>
    <mergeCell ref="A120:L120"/>
    <mergeCell ref="A106:G106"/>
    <mergeCell ref="F98:J98"/>
    <mergeCell ref="B103:D103"/>
    <mergeCell ref="C96:E96"/>
    <mergeCell ref="I111:K111"/>
    <mergeCell ref="I112:K112"/>
    <mergeCell ref="I113:K113"/>
    <mergeCell ref="I114:K114"/>
    <mergeCell ref="B135:D135"/>
    <mergeCell ref="I118:K118"/>
  </mergeCells>
  <conditionalFormatting sqref="I118">
    <cfRule type="cellIs" dxfId="0" priority="1" operator="greaterThan">
      <formula>$I$117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44" orientation="portrait" r:id="rId3"/>
  <headerFooter>
    <oddFooter>&amp;RRT03-F12 Vr.2 (2018-03-05)
&amp;P de 3</oddFooter>
  </headerFooter>
  <rowBreaks count="2" manualBreakCount="2">
    <brk id="50" max="16383" man="1"/>
    <brk id="96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DATOS!$C$27:$C$88</xm:f>
          </x14:formula1>
          <xm:sqref>E24 K21:K24</xm:sqref>
        </x14:dataValidation>
        <x14:dataValidation type="list" allowBlank="1" showInputMessage="1" showErrorMessage="1">
          <x14:formula1>
            <xm:f>DATOS!$C$7:$C$9</xm:f>
          </x14:formula1>
          <xm:sqref>J5:J6</xm:sqref>
        </x14:dataValidation>
        <x14:dataValidation type="list" allowBlank="1" showInputMessage="1" showErrorMessage="1">
          <x14:formula1>
            <xm:f>DATOS!$C$16:$C$22</xm:f>
          </x14:formula1>
          <xm:sqref>F8</xm:sqref>
        </x14:dataValidation>
        <x14:dataValidation type="list" allowBlank="1" showInputMessage="1" showErrorMessage="1">
          <x14:formula1>
            <xm:f>DATOS!$B$27:$B$88</xm:f>
          </x14:formula1>
          <xm:sqref>K10</xm:sqref>
        </x14:dataValidation>
        <x14:dataValidation type="list" allowBlank="1" showInputMessage="1" showErrorMessage="1">
          <x14:formula1>
            <xm:f>DATOS!$C$112:$C$121</xm:f>
          </x14:formula1>
          <xm:sqref>K28</xm:sqref>
        </x14:dataValidation>
        <x14:dataValidation type="list" allowBlank="1" showInputMessage="1" showErrorMessage="1">
          <x14:formula1>
            <xm:f>DATOS!$O$101:$O$147</xm:f>
          </x14:formula1>
          <xm:sqref>K29</xm:sqref>
        </x14:dataValidation>
        <x14:dataValidation type="list" allowBlank="1" showInputMessage="1" showErrorMessage="1">
          <x14:formula1>
            <xm:f>DATOS!$D$158:$D$162</xm:f>
          </x14:formula1>
          <xm:sqref>K62</xm:sqref>
        </x14:dataValidation>
        <x14:dataValidation type="list" allowBlank="1" showInputMessage="1" showErrorMessage="1">
          <x14:formula1>
            <xm:f>DATOS!$K$27:$K$45</xm:f>
          </x14:formula1>
          <xm:sqref>E19</xm:sqref>
        </x14:dataValidation>
        <x14:dataValidation type="list" allowBlank="1" showInputMessage="1" showErrorMessage="1">
          <x14:formula1>
            <xm:f>DATOS!$L$27:$L$52</xm:f>
          </x14:formula1>
          <xm:sqref>D22:F22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8"/>
  <sheetViews>
    <sheetView showGridLines="0" tabSelected="1" showRuler="0" showWhiteSpace="0" view="pageBreakPreview" zoomScale="110" zoomScaleNormal="110" zoomScaleSheetLayoutView="110" zoomScalePageLayoutView="85" workbookViewId="0">
      <selection activeCell="E144" sqref="E144"/>
    </sheetView>
  </sheetViews>
  <sheetFormatPr baseColWidth="10" defaultRowHeight="15" customHeight="1" x14ac:dyDescent="0.2"/>
  <cols>
    <col min="1" max="3" width="14.7109375" style="6" customWidth="1"/>
    <col min="4" max="4" width="15.140625" style="6" customWidth="1"/>
    <col min="5" max="6" width="14.7109375" style="6" customWidth="1"/>
    <col min="7" max="16384" width="11.42578125" style="6"/>
  </cols>
  <sheetData>
    <row r="1" spans="1:6" ht="18.95" customHeight="1" x14ac:dyDescent="0.2">
      <c r="A1" s="14"/>
      <c r="B1" s="14"/>
      <c r="C1" s="15"/>
      <c r="D1" s="15"/>
      <c r="E1" s="15"/>
      <c r="F1" s="15"/>
    </row>
    <row r="2" spans="1:6" ht="15" customHeight="1" x14ac:dyDescent="0.2">
      <c r="A2" s="14"/>
      <c r="B2" s="14"/>
      <c r="C2" s="15"/>
      <c r="D2" s="15"/>
      <c r="E2" s="15"/>
      <c r="F2" s="15"/>
    </row>
    <row r="3" spans="1:6" ht="15" customHeight="1" x14ac:dyDescent="0.2">
      <c r="A3" s="14"/>
      <c r="B3" s="14"/>
      <c r="C3" s="15"/>
      <c r="D3" s="15"/>
      <c r="E3" s="15"/>
      <c r="F3" s="15"/>
    </row>
    <row r="4" spans="1:6" ht="12" customHeight="1" x14ac:dyDescent="0.2">
      <c r="A4" s="2"/>
      <c r="B4" s="2"/>
      <c r="C4" s="2"/>
      <c r="D4" s="2"/>
      <c r="E4" s="2"/>
      <c r="F4" s="2"/>
    </row>
    <row r="5" spans="1:6" ht="20.100000000000001" customHeight="1" x14ac:dyDescent="0.25">
      <c r="A5" s="835" t="s">
        <v>80</v>
      </c>
      <c r="B5" s="835"/>
      <c r="C5" s="835"/>
      <c r="D5" s="5"/>
      <c r="E5" s="71"/>
      <c r="F5" s="269" t="e">
        <f>'RT03-F12'!I6</f>
        <v>#N/A</v>
      </c>
    </row>
    <row r="6" spans="1:6" ht="12" customHeight="1" x14ac:dyDescent="0.2">
      <c r="A6" s="7"/>
      <c r="B6" s="5"/>
      <c r="C6" s="5"/>
      <c r="D6" s="5"/>
      <c r="E6" s="5"/>
      <c r="F6" s="5"/>
    </row>
    <row r="7" spans="1:6" ht="15" customHeight="1" x14ac:dyDescent="0.2">
      <c r="A7" s="792" t="s">
        <v>156</v>
      </c>
      <c r="B7" s="792"/>
      <c r="C7" s="796" t="e">
        <f>'RT03-F12'!G6</f>
        <v>#N/A</v>
      </c>
      <c r="D7" s="792"/>
      <c r="E7" s="792"/>
      <c r="F7" s="792"/>
    </row>
    <row r="8" spans="1:6" ht="15" customHeight="1" thickBot="1" x14ac:dyDescent="0.25">
      <c r="A8" s="792" t="s">
        <v>81</v>
      </c>
      <c r="B8" s="792"/>
      <c r="C8" s="796" t="e">
        <f>'RT03-F12'!H6</f>
        <v>#N/A</v>
      </c>
      <c r="D8" s="796"/>
      <c r="E8" s="387"/>
      <c r="F8" s="387"/>
    </row>
    <row r="9" spans="1:6" ht="15" customHeight="1" x14ac:dyDescent="0.2">
      <c r="A9" s="792" t="s">
        <v>82</v>
      </c>
      <c r="B9" s="792"/>
      <c r="C9" s="796" t="s">
        <v>369</v>
      </c>
      <c r="D9" s="792"/>
      <c r="E9" s="797" t="s">
        <v>417</v>
      </c>
      <c r="F9" s="798"/>
    </row>
    <row r="10" spans="1:6" ht="12" customHeight="1" x14ac:dyDescent="0.2">
      <c r="A10" s="838"/>
      <c r="B10" s="838"/>
      <c r="C10" s="9"/>
      <c r="D10" s="5"/>
      <c r="E10" s="799"/>
      <c r="F10" s="800"/>
    </row>
    <row r="11" spans="1:6" ht="15" customHeight="1" x14ac:dyDescent="0.2">
      <c r="A11" s="792" t="s">
        <v>139</v>
      </c>
      <c r="B11" s="792"/>
      <c r="C11" s="836" t="str">
        <f>DATOS!L8</f>
        <v>Balanza Digital</v>
      </c>
      <c r="D11" s="836"/>
      <c r="E11" s="799"/>
      <c r="F11" s="800"/>
    </row>
    <row r="12" spans="1:6" ht="15" customHeight="1" x14ac:dyDescent="0.2">
      <c r="A12" s="792" t="s">
        <v>84</v>
      </c>
      <c r="B12" s="792"/>
      <c r="C12" s="796">
        <f>DATOS!D17</f>
        <v>0</v>
      </c>
      <c r="D12" s="792"/>
      <c r="E12" s="799"/>
      <c r="F12" s="800"/>
    </row>
    <row r="13" spans="1:6" ht="15" customHeight="1" x14ac:dyDescent="0.2">
      <c r="A13" s="792" t="s">
        <v>9</v>
      </c>
      <c r="B13" s="792"/>
      <c r="C13" s="792">
        <f>DATOS!E17</f>
        <v>0</v>
      </c>
      <c r="D13" s="792"/>
      <c r="E13" s="799"/>
      <c r="F13" s="800"/>
    </row>
    <row r="14" spans="1:6" ht="15" customHeight="1" x14ac:dyDescent="0.2">
      <c r="A14" s="792" t="s">
        <v>85</v>
      </c>
      <c r="B14" s="792"/>
      <c r="C14" s="77">
        <f>DATOS!F17</f>
        <v>0</v>
      </c>
      <c r="D14" s="5"/>
      <c r="E14" s="799"/>
      <c r="F14" s="800"/>
    </row>
    <row r="15" spans="1:6" ht="20.100000000000001" customHeight="1" thickBot="1" x14ac:dyDescent="0.25">
      <c r="A15" s="40"/>
      <c r="B15" s="40"/>
      <c r="C15" s="40"/>
      <c r="D15" s="33"/>
      <c r="E15" s="801"/>
      <c r="F15" s="802"/>
    </row>
    <row r="16" spans="1:6" ht="15" customHeight="1" x14ac:dyDescent="0.2">
      <c r="A16" s="383"/>
      <c r="B16" s="383"/>
      <c r="C16" s="383"/>
      <c r="D16" s="33"/>
      <c r="E16" s="388"/>
      <c r="F16" s="388"/>
    </row>
    <row r="17" spans="1:6" ht="12" customHeight="1" x14ac:dyDescent="0.2">
      <c r="A17" s="792" t="s">
        <v>83</v>
      </c>
      <c r="B17" s="792"/>
      <c r="C17" s="41" t="e">
        <f>'RT03-F12'!C6</f>
        <v>#N/A</v>
      </c>
      <c r="D17" s="837" t="s">
        <v>86</v>
      </c>
      <c r="E17" s="837"/>
      <c r="F17" s="41" t="e">
        <f>'RT03-F12'!F6</f>
        <v>#N/A</v>
      </c>
    </row>
    <row r="18" spans="1:6" ht="15" customHeight="1" x14ac:dyDescent="0.2">
      <c r="A18" s="40"/>
      <c r="B18" s="40"/>
      <c r="C18" s="41"/>
      <c r="D18" s="40"/>
      <c r="E18" s="40"/>
      <c r="F18" s="41"/>
    </row>
    <row r="19" spans="1:6" ht="20.100000000000001" customHeight="1" x14ac:dyDescent="0.2">
      <c r="A19" s="793" t="s">
        <v>138</v>
      </c>
      <c r="B19" s="793"/>
      <c r="C19" s="793"/>
      <c r="D19" s="33"/>
      <c r="E19" s="33"/>
      <c r="F19" s="33"/>
    </row>
    <row r="20" spans="1:6" ht="12" customHeight="1" x14ac:dyDescent="0.2">
      <c r="A20" s="36"/>
      <c r="B20" s="36"/>
      <c r="C20" s="36"/>
      <c r="D20" s="33"/>
      <c r="E20" s="33"/>
      <c r="F20" s="33"/>
    </row>
    <row r="21" spans="1:6" ht="15" customHeight="1" x14ac:dyDescent="0.2">
      <c r="A21" s="792" t="s">
        <v>134</v>
      </c>
      <c r="B21" s="792"/>
      <c r="C21" s="78" t="e">
        <f>'RT03-F12'!D12</f>
        <v>#N/A</v>
      </c>
      <c r="D21" s="40" t="s">
        <v>93</v>
      </c>
      <c r="E21" s="40"/>
      <c r="F21" s="40"/>
    </row>
    <row r="22" spans="1:6" ht="15" customHeight="1" x14ac:dyDescent="0.2">
      <c r="A22" s="792" t="s">
        <v>135</v>
      </c>
      <c r="B22" s="792"/>
      <c r="C22" s="78" t="e">
        <f>'RT03-F12'!D13</f>
        <v>#N/A</v>
      </c>
      <c r="D22" s="40" t="s">
        <v>93</v>
      </c>
      <c r="E22" s="40"/>
      <c r="F22" s="40"/>
    </row>
    <row r="23" spans="1:6" ht="15" customHeight="1" x14ac:dyDescent="0.2">
      <c r="A23" s="792" t="s">
        <v>136</v>
      </c>
      <c r="B23" s="792"/>
      <c r="C23" s="77" t="e">
        <f>'RT03-F12'!D14</f>
        <v>#N/A</v>
      </c>
      <c r="D23" s="40" t="s">
        <v>93</v>
      </c>
      <c r="E23" s="40"/>
      <c r="F23" s="40"/>
    </row>
    <row r="24" spans="1:6" ht="15" customHeight="1" x14ac:dyDescent="0.2">
      <c r="A24" s="792" t="s">
        <v>137</v>
      </c>
      <c r="B24" s="792"/>
      <c r="C24" s="78" t="e">
        <f>'RT03-F12'!D15</f>
        <v>#N/A</v>
      </c>
      <c r="D24" s="40" t="s">
        <v>93</v>
      </c>
      <c r="E24" s="40"/>
      <c r="F24" s="40"/>
    </row>
    <row r="26" spans="1:6" ht="20.100000000000001" customHeight="1" x14ac:dyDescent="0.2">
      <c r="A26" s="793" t="s">
        <v>355</v>
      </c>
      <c r="B26" s="793"/>
      <c r="C26" s="10" t="e">
        <f>'RT03-F12'!D6</f>
        <v>#N/A</v>
      </c>
      <c r="D26" s="8"/>
      <c r="E26" s="8"/>
      <c r="F26" s="5"/>
    </row>
    <row r="27" spans="1:6" ht="12" customHeight="1" x14ac:dyDescent="0.2">
      <c r="A27" s="11"/>
      <c r="B27" s="11"/>
      <c r="C27" s="11"/>
    </row>
    <row r="28" spans="1:6" ht="20.100000000000001" customHeight="1" x14ac:dyDescent="0.2">
      <c r="A28" s="793" t="s">
        <v>166</v>
      </c>
      <c r="B28" s="793"/>
      <c r="C28" s="793"/>
      <c r="D28" s="793"/>
      <c r="E28" s="793"/>
      <c r="F28" s="793"/>
    </row>
    <row r="29" spans="1:6" ht="12" customHeight="1" x14ac:dyDescent="0.2">
      <c r="D29" s="12"/>
      <c r="E29" s="5"/>
      <c r="F29" s="5"/>
    </row>
    <row r="30" spans="1:6" ht="20.100000000000001" customHeight="1" x14ac:dyDescent="0.2">
      <c r="A30" s="793" t="s">
        <v>140</v>
      </c>
      <c r="B30" s="793"/>
      <c r="C30" s="793"/>
      <c r="D30" s="12"/>
      <c r="E30" s="5"/>
      <c r="F30" s="5"/>
    </row>
    <row r="31" spans="1:6" ht="12" customHeight="1" x14ac:dyDescent="0.2">
      <c r="A31" s="36"/>
      <c r="B31" s="36"/>
      <c r="C31" s="36"/>
      <c r="D31" s="12"/>
      <c r="E31" s="33"/>
      <c r="F31" s="33"/>
    </row>
    <row r="32" spans="1:6" ht="15" customHeight="1" x14ac:dyDescent="0.2">
      <c r="A32" s="792" t="s">
        <v>87</v>
      </c>
      <c r="B32" s="792"/>
      <c r="C32" s="792"/>
      <c r="D32" s="792"/>
      <c r="E32" s="792"/>
      <c r="F32" s="792"/>
    </row>
    <row r="33" spans="1:6" ht="12" customHeight="1" x14ac:dyDescent="0.2">
      <c r="A33" s="11"/>
      <c r="B33" s="11"/>
      <c r="C33" s="11"/>
      <c r="D33" s="11"/>
      <c r="E33" s="11"/>
      <c r="F33" s="11"/>
    </row>
    <row r="34" spans="1:6" ht="20.100000000000001" customHeight="1" x14ac:dyDescent="0.2">
      <c r="A34" s="804" t="s">
        <v>141</v>
      </c>
      <c r="B34" s="804"/>
      <c r="C34" s="804"/>
      <c r="D34" s="804"/>
      <c r="E34" s="11"/>
      <c r="F34" s="11"/>
    </row>
    <row r="35" spans="1:6" ht="12" customHeight="1" x14ac:dyDescent="0.2">
      <c r="A35" s="37"/>
      <c r="B35" s="37"/>
      <c r="C35" s="37"/>
      <c r="D35" s="37"/>
      <c r="E35" s="11"/>
      <c r="F35" s="11"/>
    </row>
    <row r="36" spans="1:6" ht="15" customHeight="1" x14ac:dyDescent="0.2">
      <c r="A36" s="830" t="s">
        <v>418</v>
      </c>
      <c r="B36" s="830"/>
      <c r="C36" s="830"/>
      <c r="D36" s="830"/>
      <c r="E36" s="830"/>
      <c r="F36" s="830"/>
    </row>
    <row r="37" spans="1:6" ht="15" customHeight="1" x14ac:dyDescent="0.2">
      <c r="A37" s="830"/>
      <c r="B37" s="830"/>
      <c r="C37" s="830"/>
      <c r="D37" s="830"/>
      <c r="E37" s="830"/>
      <c r="F37" s="830"/>
    </row>
    <row r="38" spans="1:6" ht="15" customHeight="1" x14ac:dyDescent="0.2">
      <c r="A38" s="830"/>
      <c r="B38" s="830"/>
      <c r="C38" s="830"/>
      <c r="D38" s="830"/>
      <c r="E38" s="830"/>
      <c r="F38" s="830"/>
    </row>
    <row r="39" spans="1:6" ht="15" customHeight="1" x14ac:dyDescent="0.2">
      <c r="A39" s="830"/>
      <c r="B39" s="830"/>
      <c r="C39" s="830"/>
      <c r="D39" s="830"/>
      <c r="E39" s="830"/>
      <c r="F39" s="830"/>
    </row>
    <row r="40" spans="1:6" ht="12" customHeight="1" x14ac:dyDescent="0.2"/>
    <row r="41" spans="1:6" ht="15" customHeight="1" x14ac:dyDescent="0.2">
      <c r="A41" s="804" t="s">
        <v>161</v>
      </c>
      <c r="B41" s="804"/>
      <c r="C41" s="823" t="s">
        <v>132</v>
      </c>
      <c r="D41" s="823"/>
      <c r="E41" s="823"/>
      <c r="F41" s="823"/>
    </row>
    <row r="42" spans="1:6" ht="15" customHeight="1" x14ac:dyDescent="0.2">
      <c r="A42" s="804"/>
      <c r="B42" s="804"/>
      <c r="C42" s="823"/>
      <c r="D42" s="823"/>
      <c r="E42" s="823"/>
      <c r="F42" s="823"/>
    </row>
    <row r="43" spans="1:6" ht="15" customHeight="1" x14ac:dyDescent="0.2">
      <c r="A43" s="832" t="s">
        <v>157</v>
      </c>
      <c r="B43" s="832"/>
      <c r="C43" s="823" t="s">
        <v>133</v>
      </c>
      <c r="D43" s="823"/>
      <c r="E43" s="823"/>
      <c r="F43" s="823"/>
    </row>
    <row r="44" spans="1:6" ht="15" customHeight="1" x14ac:dyDescent="0.2">
      <c r="A44" s="832"/>
      <c r="B44" s="832"/>
      <c r="C44" s="823"/>
      <c r="D44" s="823"/>
      <c r="E44" s="823"/>
      <c r="F44" s="823"/>
    </row>
    <row r="45" spans="1:6" ht="15" customHeight="1" x14ac:dyDescent="0.2">
      <c r="A45" s="832" t="s">
        <v>158</v>
      </c>
      <c r="B45" s="832"/>
      <c r="C45" s="823" t="s">
        <v>182</v>
      </c>
      <c r="D45" s="823"/>
      <c r="E45" s="823"/>
      <c r="F45" s="823"/>
    </row>
    <row r="46" spans="1:6" ht="15" customHeight="1" x14ac:dyDescent="0.2">
      <c r="A46" s="832"/>
      <c r="B46" s="832"/>
      <c r="C46" s="823"/>
      <c r="D46" s="823"/>
      <c r="E46" s="823"/>
      <c r="F46" s="823"/>
    </row>
    <row r="47" spans="1:6" ht="12" customHeight="1" x14ac:dyDescent="0.2">
      <c r="A47" s="12"/>
      <c r="B47" s="12"/>
      <c r="C47" s="12"/>
      <c r="D47" s="12"/>
      <c r="E47" s="12"/>
      <c r="F47" s="12"/>
    </row>
    <row r="48" spans="1:6" ht="30" customHeight="1" x14ac:dyDescent="0.2">
      <c r="A48" s="12"/>
      <c r="B48" s="12"/>
      <c r="C48" s="12"/>
      <c r="D48" s="12"/>
      <c r="E48" s="12"/>
      <c r="F48" s="18" t="e">
        <f>F5</f>
        <v>#N/A</v>
      </c>
    </row>
    <row r="49" spans="1:6" ht="22.5" customHeight="1" x14ac:dyDescent="0.2">
      <c r="A49" s="804" t="s">
        <v>169</v>
      </c>
      <c r="B49" s="804"/>
      <c r="C49" s="804"/>
      <c r="D49" s="831"/>
      <c r="E49" s="831"/>
      <c r="F49" s="831"/>
    </row>
    <row r="50" spans="1:6" ht="27" customHeight="1" x14ac:dyDescent="0.2">
      <c r="A50" s="824">
        <f>DATOS!H8</f>
        <v>0</v>
      </c>
      <c r="B50" s="824"/>
      <c r="C50" s="812">
        <f>DATOS!G8</f>
        <v>0</v>
      </c>
      <c r="D50" s="812"/>
      <c r="E50" s="278"/>
      <c r="F50" s="382"/>
    </row>
    <row r="51" spans="1:6" ht="15" customHeight="1" x14ac:dyDescent="0.2">
      <c r="A51" s="17"/>
      <c r="B51" s="18"/>
      <c r="C51" s="12"/>
      <c r="D51" s="5"/>
      <c r="E51" s="5"/>
      <c r="F51" s="5"/>
    </row>
    <row r="52" spans="1:6" ht="20.100000000000001" customHeight="1" x14ac:dyDescent="0.2">
      <c r="A52" s="804" t="s">
        <v>146</v>
      </c>
      <c r="B52" s="804"/>
      <c r="C52" s="42" t="s">
        <v>142</v>
      </c>
      <c r="D52" s="43"/>
      <c r="F52" s="5"/>
    </row>
    <row r="53" spans="1:6" ht="15" customHeight="1" x14ac:dyDescent="0.2">
      <c r="C53" s="5"/>
      <c r="D53" s="5"/>
      <c r="E53" s="5"/>
      <c r="F53" s="5"/>
    </row>
    <row r="54" spans="1:6" ht="20.100000000000001" customHeight="1" x14ac:dyDescent="0.2">
      <c r="A54" s="839" t="s">
        <v>415</v>
      </c>
      <c r="B54" s="833"/>
      <c r="C54" s="834"/>
      <c r="D54" s="5"/>
      <c r="E54" s="5"/>
      <c r="F54" s="5"/>
    </row>
    <row r="55" spans="1:6" ht="15" customHeight="1" thickBot="1" x14ac:dyDescent="0.25">
      <c r="A55" s="19"/>
      <c r="B55" s="19"/>
      <c r="C55" s="19"/>
      <c r="D55" s="5"/>
      <c r="E55" s="5"/>
      <c r="F55" s="5"/>
    </row>
    <row r="56" spans="1:6" ht="24.75" customHeight="1" thickBot="1" x14ac:dyDescent="0.25">
      <c r="A56" s="44" t="s">
        <v>88</v>
      </c>
      <c r="B56" s="45" t="s">
        <v>89</v>
      </c>
      <c r="C56" s="45" t="s">
        <v>90</v>
      </c>
      <c r="D56" s="5"/>
      <c r="E56" s="5"/>
      <c r="F56" s="5"/>
    </row>
    <row r="57" spans="1:6" ht="19.5" customHeight="1" thickBot="1" x14ac:dyDescent="0.25">
      <c r="A57" s="475">
        <f>'RT03-F12'!E64</f>
        <v>-0.44030000000000002</v>
      </c>
      <c r="B57" s="476">
        <f>'RT03-F12'!G64</f>
        <v>3.0127999999999999</v>
      </c>
      <c r="C57" s="476">
        <f>'RT03-F12'!I64</f>
        <v>-1.3937999999999999</v>
      </c>
      <c r="D57" s="5"/>
      <c r="E57" s="5"/>
      <c r="F57" s="5"/>
    </row>
    <row r="58" spans="1:6" ht="15" customHeight="1" x14ac:dyDescent="0.2">
      <c r="A58" s="829" t="s">
        <v>152</v>
      </c>
      <c r="B58" s="829"/>
      <c r="C58" s="829"/>
      <c r="D58" s="829"/>
      <c r="E58" s="829"/>
      <c r="F58" s="829"/>
    </row>
    <row r="59" spans="1:6" ht="15" customHeight="1" x14ac:dyDescent="0.2">
      <c r="A59" s="19"/>
      <c r="B59" s="19"/>
      <c r="C59" s="19"/>
      <c r="D59" s="5"/>
      <c r="E59" s="5"/>
      <c r="F59" s="5"/>
    </row>
    <row r="60" spans="1:6" ht="20.100000000000001" customHeight="1" x14ac:dyDescent="0.2">
      <c r="A60" s="804" t="s">
        <v>143</v>
      </c>
      <c r="B60" s="804"/>
      <c r="C60" s="804"/>
      <c r="D60" s="804"/>
      <c r="E60" s="19"/>
      <c r="F60" s="19"/>
    </row>
    <row r="61" spans="1:6" ht="12" customHeight="1" thickBot="1" x14ac:dyDescent="0.25">
      <c r="A61" s="37"/>
      <c r="B61" s="37"/>
      <c r="C61" s="37"/>
      <c r="D61" s="37"/>
      <c r="E61" s="20"/>
      <c r="F61" s="20"/>
    </row>
    <row r="62" spans="1:6" ht="15" customHeight="1" thickBot="1" x14ac:dyDescent="0.25">
      <c r="A62" s="787" t="s">
        <v>168</v>
      </c>
      <c r="B62" s="788"/>
      <c r="C62" s="66" t="e">
        <f>'RT03-F12'!I12</f>
        <v>#N/A</v>
      </c>
      <c r="D62" s="5"/>
      <c r="E62" s="5"/>
      <c r="F62" s="5"/>
    </row>
    <row r="63" spans="1:6" ht="15" customHeight="1" thickBot="1" x14ac:dyDescent="0.25">
      <c r="A63" s="789" t="s">
        <v>91</v>
      </c>
      <c r="B63" s="790"/>
      <c r="C63" s="68" t="e">
        <f>'RT03-F12'!I13</f>
        <v>#N/A</v>
      </c>
      <c r="D63" s="5"/>
      <c r="E63" s="5"/>
      <c r="F63" s="5"/>
    </row>
    <row r="64" spans="1:6" ht="15" customHeight="1" thickBot="1" x14ac:dyDescent="0.25">
      <c r="A64" s="785" t="s">
        <v>167</v>
      </c>
      <c r="B64" s="786"/>
      <c r="C64" s="67" t="e">
        <f>'RT03-F12'!I14</f>
        <v>#N/A</v>
      </c>
      <c r="D64" s="5"/>
      <c r="E64" s="5"/>
      <c r="F64" s="5"/>
    </row>
    <row r="65" spans="1:6" ht="15" customHeight="1" x14ac:dyDescent="0.2">
      <c r="A65" s="11"/>
      <c r="B65" s="34"/>
      <c r="C65" s="5"/>
      <c r="D65" s="5"/>
      <c r="E65" s="5"/>
      <c r="F65" s="5"/>
    </row>
    <row r="66" spans="1:6" ht="20.100000000000001" customHeight="1" x14ac:dyDescent="0.2">
      <c r="A66" s="804" t="s">
        <v>144</v>
      </c>
      <c r="B66" s="804"/>
      <c r="C66" s="804"/>
      <c r="D66" s="804"/>
      <c r="E66" s="19"/>
      <c r="F66" s="19"/>
    </row>
    <row r="67" spans="1:6" ht="12" customHeight="1" x14ac:dyDescent="0.2">
      <c r="A67" s="37"/>
      <c r="B67" s="37"/>
      <c r="C67" s="37"/>
      <c r="D67" s="37"/>
      <c r="E67" s="20"/>
      <c r="F67" s="20"/>
    </row>
    <row r="68" spans="1:6" ht="15" customHeight="1" x14ac:dyDescent="0.2">
      <c r="A68" s="808" t="s">
        <v>95</v>
      </c>
      <c r="B68" s="808"/>
      <c r="D68" s="19"/>
      <c r="E68" s="19"/>
      <c r="F68" s="19"/>
    </row>
    <row r="69" spans="1:6" ht="15" customHeight="1" thickBot="1" x14ac:dyDescent="0.25">
      <c r="A69" s="19"/>
      <c r="B69" s="19"/>
      <c r="C69" s="19"/>
      <c r="D69" s="5"/>
      <c r="E69" s="5"/>
      <c r="F69" s="5"/>
    </row>
    <row r="70" spans="1:6" ht="15" customHeight="1" thickBot="1" x14ac:dyDescent="0.25">
      <c r="A70" s="813" t="s">
        <v>92</v>
      </c>
      <c r="B70" s="814"/>
      <c r="C70" s="815"/>
      <c r="D70" s="19"/>
      <c r="E70" s="19"/>
      <c r="F70" s="19"/>
    </row>
    <row r="71" spans="1:6" ht="15" customHeight="1" thickBot="1" x14ac:dyDescent="0.25">
      <c r="A71" s="46" t="str">
        <f>'RT03-F12'!C34</f>
        <v>Carga</v>
      </c>
      <c r="B71" s="47">
        <f>'RT03-F12'!E34</f>
        <v>0</v>
      </c>
      <c r="C71" s="48" t="str">
        <f>'RT03-F12'!D34</f>
        <v>(g)</v>
      </c>
      <c r="D71" s="19"/>
      <c r="E71" s="55" t="s">
        <v>94</v>
      </c>
      <c r="F71" s="19"/>
    </row>
    <row r="72" spans="1:6" ht="15" customHeight="1" thickBot="1" x14ac:dyDescent="0.25">
      <c r="A72" s="46" t="str">
        <f>'RT03-F12'!B35</f>
        <v>Posición</v>
      </c>
      <c r="B72" s="48" t="str">
        <f>'RT03-F12'!B36</f>
        <v>Indicación (g)</v>
      </c>
      <c r="C72" s="49" t="s">
        <v>183</v>
      </c>
      <c r="D72" s="19"/>
      <c r="E72" s="19"/>
      <c r="F72" s="19"/>
    </row>
    <row r="73" spans="1:6" ht="20.100000000000001" customHeight="1" x14ac:dyDescent="0.2">
      <c r="A73" s="50">
        <f>'RT03-F12'!C35</f>
        <v>1</v>
      </c>
      <c r="B73" s="72">
        <f>'RT03-F12'!C36</f>
        <v>0</v>
      </c>
      <c r="C73" s="73">
        <f>'RT03-F12'!C37</f>
        <v>0</v>
      </c>
      <c r="D73" s="19"/>
      <c r="F73" s="19"/>
    </row>
    <row r="74" spans="1:6" ht="20.100000000000001" customHeight="1" x14ac:dyDescent="0.2">
      <c r="A74" s="50">
        <f>'RT03-F12'!D35</f>
        <v>2</v>
      </c>
      <c r="B74" s="51">
        <f>'RT03-F12'!D36</f>
        <v>0</v>
      </c>
      <c r="C74" s="51">
        <f>'RT03-F12'!D37</f>
        <v>0</v>
      </c>
      <c r="D74" s="19"/>
      <c r="E74" s="19"/>
      <c r="F74" s="19"/>
    </row>
    <row r="75" spans="1:6" ht="20.100000000000001" customHeight="1" x14ac:dyDescent="0.2">
      <c r="A75" s="52">
        <f>'RT03-F12'!E35</f>
        <v>3</v>
      </c>
      <c r="B75" s="51">
        <f>'RT03-F12'!E36</f>
        <v>0</v>
      </c>
      <c r="C75" s="51">
        <f>'RT03-F12'!E37</f>
        <v>0</v>
      </c>
      <c r="D75" s="19"/>
      <c r="E75" s="19"/>
      <c r="F75" s="19"/>
    </row>
    <row r="76" spans="1:6" ht="20.100000000000001" customHeight="1" x14ac:dyDescent="0.2">
      <c r="A76" s="52">
        <f>'RT03-F12'!F35</f>
        <v>4</v>
      </c>
      <c r="B76" s="51">
        <f>'RT03-F12'!F36</f>
        <v>0</v>
      </c>
      <c r="C76" s="51">
        <f>'RT03-F12'!F37</f>
        <v>0</v>
      </c>
      <c r="D76" s="19"/>
      <c r="E76" s="19"/>
      <c r="F76" s="19"/>
    </row>
    <row r="77" spans="1:6" ht="20.100000000000001" customHeight="1" x14ac:dyDescent="0.2">
      <c r="A77" s="52">
        <f>'RT03-F12'!G35</f>
        <v>5</v>
      </c>
      <c r="B77" s="51">
        <f>'RT03-F12'!G36</f>
        <v>0</v>
      </c>
      <c r="C77" s="51">
        <f>'RT03-F12'!G37</f>
        <v>0</v>
      </c>
      <c r="D77" s="19"/>
      <c r="E77" s="19"/>
      <c r="F77" s="19"/>
    </row>
    <row r="78" spans="1:6" ht="20.100000000000001" customHeight="1" x14ac:dyDescent="0.2">
      <c r="A78" s="53" t="str">
        <f>'[4]PRUEBAS DE CALIBRACION'!F18</f>
        <v>DIF MAX EXC</v>
      </c>
      <c r="B78" s="51">
        <f>'RT03-F12'!C39</f>
        <v>0</v>
      </c>
      <c r="C78" s="54" t="s">
        <v>145</v>
      </c>
      <c r="D78" s="19"/>
      <c r="E78" s="19"/>
      <c r="F78" s="19"/>
    </row>
    <row r="79" spans="1:6" ht="15" customHeight="1" x14ac:dyDescent="0.2">
      <c r="A79" s="12"/>
      <c r="B79" s="21"/>
      <c r="C79" s="18"/>
      <c r="D79" s="20"/>
      <c r="E79" s="20"/>
      <c r="F79" s="20"/>
    </row>
    <row r="80" spans="1:6" ht="15" customHeight="1" x14ac:dyDescent="0.2">
      <c r="A80" s="794" t="s">
        <v>365</v>
      </c>
      <c r="B80" s="794"/>
      <c r="C80" s="794"/>
      <c r="D80" s="794"/>
      <c r="E80" s="794"/>
      <c r="F80" s="794"/>
    </row>
    <row r="81" spans="1:6" ht="15" customHeight="1" x14ac:dyDescent="0.2">
      <c r="A81" s="794"/>
      <c r="B81" s="794"/>
      <c r="C81" s="794"/>
      <c r="D81" s="794"/>
      <c r="E81" s="794"/>
      <c r="F81" s="794"/>
    </row>
    <row r="82" spans="1:6" ht="15" customHeight="1" x14ac:dyDescent="0.2">
      <c r="A82" s="794"/>
      <c r="B82" s="794"/>
      <c r="C82" s="794"/>
      <c r="D82" s="794"/>
      <c r="E82" s="794"/>
      <c r="F82" s="794"/>
    </row>
    <row r="83" spans="1:6" ht="15" customHeight="1" x14ac:dyDescent="0.2">
      <c r="A83" s="31"/>
      <c r="B83" s="31"/>
      <c r="C83" s="31"/>
      <c r="D83" s="31"/>
      <c r="E83" s="31"/>
      <c r="F83" s="31"/>
    </row>
    <row r="84" spans="1:6" ht="15" customHeight="1" x14ac:dyDescent="0.2">
      <c r="A84" s="808" t="s">
        <v>98</v>
      </c>
      <c r="B84" s="808"/>
      <c r="E84" s="12"/>
      <c r="F84" s="12"/>
    </row>
    <row r="85" spans="1:6" ht="15" customHeight="1" thickBot="1" x14ac:dyDescent="0.25">
      <c r="E85" s="12"/>
      <c r="F85" s="18" t="e">
        <f>F5</f>
        <v>#N/A</v>
      </c>
    </row>
    <row r="86" spans="1:6" ht="15" customHeight="1" thickBot="1" x14ac:dyDescent="0.25">
      <c r="A86" s="805" t="s">
        <v>147</v>
      </c>
      <c r="B86" s="806"/>
      <c r="C86" s="806"/>
      <c r="D86" s="807"/>
      <c r="E86" s="12"/>
      <c r="F86" s="12"/>
    </row>
    <row r="87" spans="1:6" ht="20.100000000000001" customHeight="1" thickBot="1" x14ac:dyDescent="0.25">
      <c r="A87" s="46" t="str">
        <f>'RT03-F12'!A43</f>
        <v>Cargas (g)</v>
      </c>
      <c r="B87" s="56">
        <f>'RT03-F12'!A44</f>
        <v>0</v>
      </c>
      <c r="C87" s="56">
        <f>'RT03-F12'!A45</f>
        <v>0</v>
      </c>
      <c r="D87" s="56">
        <f>'RT03-F12'!A46</f>
        <v>0</v>
      </c>
      <c r="E87" s="12"/>
      <c r="F87" s="12"/>
    </row>
    <row r="88" spans="1:6" ht="15" customHeight="1" thickBot="1" x14ac:dyDescent="0.25">
      <c r="A88" s="57" t="s">
        <v>96</v>
      </c>
      <c r="B88" s="57" t="s">
        <v>97</v>
      </c>
      <c r="C88" s="57" t="s">
        <v>97</v>
      </c>
      <c r="D88" s="57" t="s">
        <v>97</v>
      </c>
      <c r="E88" s="12"/>
      <c r="F88" s="12"/>
    </row>
    <row r="89" spans="1:6" ht="20.100000000000001" customHeight="1" x14ac:dyDescent="0.2">
      <c r="A89" s="50">
        <f>'RT03-F12'!B43</f>
        <v>1</v>
      </c>
      <c r="B89" s="73">
        <f>'RT03-F12'!B44</f>
        <v>0</v>
      </c>
      <c r="C89" s="73">
        <f>'RT03-F12'!B45</f>
        <v>0</v>
      </c>
      <c r="D89" s="73">
        <f>'RT03-F12'!B46</f>
        <v>0</v>
      </c>
      <c r="E89" s="12"/>
      <c r="F89" s="12"/>
    </row>
    <row r="90" spans="1:6" ht="20.100000000000001" customHeight="1" x14ac:dyDescent="0.2">
      <c r="A90" s="50">
        <f>'RT03-F12'!C43</f>
        <v>2</v>
      </c>
      <c r="B90" s="51">
        <f>'RT03-F12'!C44</f>
        <v>0</v>
      </c>
      <c r="C90" s="51">
        <f>'RT03-F12'!C45</f>
        <v>0</v>
      </c>
      <c r="D90" s="51">
        <f>'RT03-F12'!C46</f>
        <v>0</v>
      </c>
      <c r="E90" s="12"/>
      <c r="F90" s="12"/>
    </row>
    <row r="91" spans="1:6" ht="20.100000000000001" customHeight="1" x14ac:dyDescent="0.2">
      <c r="A91" s="50">
        <f>'RT03-F12'!D43</f>
        <v>3</v>
      </c>
      <c r="B91" s="51">
        <f>'RT03-F12'!D44</f>
        <v>0</v>
      </c>
      <c r="C91" s="51">
        <f>'RT03-F12'!D45</f>
        <v>0</v>
      </c>
      <c r="D91" s="51">
        <f>'RT03-F12'!D46</f>
        <v>0</v>
      </c>
      <c r="E91" s="12"/>
      <c r="F91" s="12"/>
    </row>
    <row r="92" spans="1:6" ht="20.100000000000001" customHeight="1" x14ac:dyDescent="0.2">
      <c r="A92" s="50">
        <f>'RT03-F12'!E43</f>
        <v>4</v>
      </c>
      <c r="B92" s="51">
        <f>'RT03-F12'!E44</f>
        <v>0</v>
      </c>
      <c r="C92" s="51">
        <f>'RT03-F12'!E45</f>
        <v>0</v>
      </c>
      <c r="D92" s="51">
        <f>'RT03-F12'!E46</f>
        <v>0</v>
      </c>
      <c r="E92" s="12"/>
      <c r="F92" s="12"/>
    </row>
    <row r="93" spans="1:6" ht="20.100000000000001" customHeight="1" x14ac:dyDescent="0.2">
      <c r="A93" s="50">
        <f>'RT03-F12'!F43</f>
        <v>5</v>
      </c>
      <c r="B93" s="51">
        <f>'RT03-F12'!F44</f>
        <v>0</v>
      </c>
      <c r="C93" s="51">
        <f>'RT03-F12'!F45</f>
        <v>0</v>
      </c>
      <c r="D93" s="51">
        <f>'RT03-F12'!F46</f>
        <v>0</v>
      </c>
      <c r="E93" s="12"/>
      <c r="F93" s="12"/>
    </row>
    <row r="94" spans="1:6" ht="20.100000000000001" customHeight="1" x14ac:dyDescent="0.2">
      <c r="A94" s="50">
        <f>'RT03-F12'!G43</f>
        <v>6</v>
      </c>
      <c r="B94" s="51">
        <f>'RT03-F12'!G44</f>
        <v>0</v>
      </c>
      <c r="C94" s="51">
        <f>'RT03-F12'!G45</f>
        <v>0</v>
      </c>
      <c r="D94" s="51">
        <f>'RT03-F12'!G46</f>
        <v>0</v>
      </c>
      <c r="E94" s="12"/>
      <c r="F94" s="12"/>
    </row>
    <row r="95" spans="1:6" ht="20.100000000000001" customHeight="1" x14ac:dyDescent="0.2">
      <c r="A95" s="50">
        <f>'RT03-F12'!H43</f>
        <v>7</v>
      </c>
      <c r="B95" s="51">
        <f>'RT03-F12'!H44</f>
        <v>0</v>
      </c>
      <c r="C95" s="51">
        <f>'RT03-F12'!H45</f>
        <v>0</v>
      </c>
      <c r="D95" s="51">
        <f>'RT03-F12'!H46</f>
        <v>0</v>
      </c>
      <c r="E95" s="12"/>
      <c r="F95" s="12"/>
    </row>
    <row r="96" spans="1:6" ht="20.100000000000001" customHeight="1" x14ac:dyDescent="0.2">
      <c r="A96" s="50">
        <f>'RT03-F12'!I43</f>
        <v>8</v>
      </c>
      <c r="B96" s="51">
        <f>'RT03-F12'!I44</f>
        <v>0</v>
      </c>
      <c r="C96" s="51">
        <f>'RT03-F12'!I45</f>
        <v>0</v>
      </c>
      <c r="D96" s="51">
        <f>'RT03-F12'!I46</f>
        <v>0</v>
      </c>
      <c r="E96" s="12"/>
      <c r="F96" s="12"/>
    </row>
    <row r="97" spans="1:6" ht="20.100000000000001" customHeight="1" x14ac:dyDescent="0.2">
      <c r="A97" s="50">
        <f>'RT03-F12'!J43</f>
        <v>9</v>
      </c>
      <c r="B97" s="51">
        <f>'RT03-F12'!J44</f>
        <v>0</v>
      </c>
      <c r="C97" s="51">
        <f>'RT03-F12'!J45</f>
        <v>0</v>
      </c>
      <c r="D97" s="51">
        <f>'RT03-F12'!J46</f>
        <v>0</v>
      </c>
      <c r="E97" s="12"/>
      <c r="F97" s="12"/>
    </row>
    <row r="98" spans="1:6" ht="20.100000000000001" customHeight="1" x14ac:dyDescent="0.2">
      <c r="A98" s="50">
        <f>'RT03-F12'!K43</f>
        <v>10</v>
      </c>
      <c r="B98" s="51">
        <f>'RT03-F12'!K44</f>
        <v>0</v>
      </c>
      <c r="C98" s="51">
        <f>'RT03-F12'!K45</f>
        <v>0</v>
      </c>
      <c r="D98" s="51">
        <f>'RT03-F12'!K46</f>
        <v>0</v>
      </c>
      <c r="E98" s="19"/>
      <c r="F98" s="19"/>
    </row>
    <row r="99" spans="1:6" ht="15" customHeight="1" x14ac:dyDescent="0.2">
      <c r="A99" s="5"/>
      <c r="B99" s="5"/>
      <c r="C99" s="5"/>
      <c r="D99" s="19"/>
      <c r="E99" s="19"/>
      <c r="F99" s="19"/>
    </row>
    <row r="100" spans="1:6" ht="15" customHeight="1" x14ac:dyDescent="0.2">
      <c r="A100" s="816" t="s">
        <v>366</v>
      </c>
      <c r="B100" s="816"/>
      <c r="C100" s="816"/>
      <c r="D100" s="816"/>
      <c r="E100" s="816"/>
      <c r="F100" s="816"/>
    </row>
    <row r="101" spans="1:6" ht="15" customHeight="1" x14ac:dyDescent="0.2">
      <c r="A101" s="816"/>
      <c r="B101" s="816"/>
      <c r="C101" s="816"/>
      <c r="D101" s="816"/>
      <c r="E101" s="816"/>
      <c r="F101" s="816"/>
    </row>
    <row r="102" spans="1:6" ht="15" customHeight="1" x14ac:dyDescent="0.2">
      <c r="A102" s="816"/>
      <c r="B102" s="816"/>
      <c r="C102" s="816"/>
      <c r="D102" s="816"/>
      <c r="E102" s="816"/>
      <c r="F102" s="816"/>
    </row>
    <row r="103" spans="1:6" ht="15" customHeight="1" x14ac:dyDescent="0.2">
      <c r="A103" s="816"/>
      <c r="B103" s="816"/>
      <c r="C103" s="816"/>
      <c r="D103" s="816"/>
      <c r="E103" s="816"/>
      <c r="F103" s="816"/>
    </row>
    <row r="104" spans="1:6" ht="15" customHeight="1" x14ac:dyDescent="0.2">
      <c r="A104" s="5"/>
      <c r="B104" s="5"/>
      <c r="C104" s="5"/>
      <c r="D104" s="19"/>
      <c r="E104" s="19"/>
      <c r="F104" s="19"/>
    </row>
    <row r="105" spans="1:6" ht="15" customHeight="1" x14ac:dyDescent="0.2">
      <c r="A105" s="808" t="s">
        <v>100</v>
      </c>
      <c r="B105" s="808"/>
      <c r="C105" s="808"/>
      <c r="D105" s="808"/>
      <c r="E105" s="5"/>
      <c r="F105" s="5"/>
    </row>
    <row r="106" spans="1:6" ht="15" customHeight="1" thickBot="1" x14ac:dyDescent="0.25">
      <c r="A106" s="5"/>
      <c r="B106" s="5"/>
      <c r="C106" s="5"/>
      <c r="D106" s="19"/>
      <c r="E106" s="19"/>
      <c r="F106" s="19"/>
    </row>
    <row r="107" spans="1:6" ht="15" customHeight="1" thickBot="1" x14ac:dyDescent="0.25">
      <c r="A107" s="809" t="s">
        <v>99</v>
      </c>
      <c r="B107" s="810"/>
      <c r="C107" s="811"/>
      <c r="D107" s="5"/>
      <c r="E107" s="5"/>
      <c r="F107" s="5"/>
    </row>
    <row r="108" spans="1:6" ht="20.100000000000001" customHeight="1" thickBot="1" x14ac:dyDescent="0.25">
      <c r="A108" s="58" t="str">
        <f>'RT03-F12'!B54</f>
        <v>Cargas (g)</v>
      </c>
      <c r="B108" s="840" t="s">
        <v>372</v>
      </c>
      <c r="C108" s="840" t="s">
        <v>371</v>
      </c>
      <c r="D108" s="384"/>
      <c r="E108" s="5"/>
      <c r="F108" s="5"/>
    </row>
    <row r="109" spans="1:6" ht="20.100000000000001" customHeight="1" x14ac:dyDescent="0.2">
      <c r="A109" s="76" t="e">
        <f>'RT03-F12'!B55</f>
        <v>#N/A</v>
      </c>
      <c r="B109" s="841" t="e">
        <f>'RT03-F12'!K55</f>
        <v>#DIV/0!</v>
      </c>
      <c r="C109" s="841" t="e">
        <f>'RT03-F12'!F104</f>
        <v>#DIV/0!</v>
      </c>
      <c r="D109" s="384"/>
      <c r="E109" s="5"/>
      <c r="F109" s="5"/>
    </row>
    <row r="110" spans="1:6" ht="20.100000000000001" customHeight="1" x14ac:dyDescent="0.2">
      <c r="A110" s="75" t="e">
        <f>'RT03-F12'!B56</f>
        <v>#N/A</v>
      </c>
      <c r="B110" s="841" t="e">
        <f>'RT03-F12'!K56</f>
        <v>#DIV/0!</v>
      </c>
      <c r="C110" s="841" t="e">
        <f>'RT03-F12'!G104</f>
        <v>#DIV/0!</v>
      </c>
      <c r="D110" s="384"/>
      <c r="E110" s="5"/>
      <c r="F110" s="5"/>
    </row>
    <row r="111" spans="1:6" ht="20.100000000000001" customHeight="1" x14ac:dyDescent="0.2">
      <c r="A111" s="74" t="e">
        <f>'RT03-F12'!B57</f>
        <v>#N/A</v>
      </c>
      <c r="B111" s="841" t="e">
        <f>'RT03-F12'!K57</f>
        <v>#DIV/0!</v>
      </c>
      <c r="C111" s="841" t="e">
        <f>'RT03-F12'!H104</f>
        <v>#DIV/0!</v>
      </c>
      <c r="D111" s="384"/>
      <c r="E111" s="5"/>
      <c r="F111" s="5"/>
    </row>
    <row r="112" spans="1:6" ht="20.100000000000001" customHeight="1" x14ac:dyDescent="0.2">
      <c r="A112" s="75" t="e">
        <f>'RT03-F12'!B58</f>
        <v>#N/A</v>
      </c>
      <c r="B112" s="841" t="e">
        <f>'RT03-F12'!K58</f>
        <v>#DIV/0!</v>
      </c>
      <c r="C112" s="841" t="e">
        <f>'RT03-F12'!I104</f>
        <v>#DIV/0!</v>
      </c>
      <c r="D112" s="384"/>
      <c r="E112" s="5"/>
      <c r="F112" s="5"/>
    </row>
    <row r="113" spans="1:6" ht="20.100000000000001" customHeight="1" x14ac:dyDescent="0.2">
      <c r="A113" s="74" t="e">
        <f>'RT03-F12'!B59</f>
        <v>#N/A</v>
      </c>
      <c r="B113" s="841" t="e">
        <f>'RT03-F12'!K59</f>
        <v>#DIV/0!</v>
      </c>
      <c r="C113" s="841" t="e">
        <f>'RT03-F12'!J104</f>
        <v>#DIV/0!</v>
      </c>
      <c r="D113" s="384"/>
      <c r="E113" s="5"/>
      <c r="F113" s="5"/>
    </row>
    <row r="114" spans="1:6" ht="15" customHeight="1" x14ac:dyDescent="0.2">
      <c r="A114" s="22"/>
      <c r="B114" s="385"/>
      <c r="C114" s="385"/>
      <c r="D114" s="384"/>
      <c r="E114" s="5"/>
      <c r="F114" s="22"/>
    </row>
    <row r="115" spans="1:6" ht="3" customHeight="1" x14ac:dyDescent="0.2">
      <c r="B115" s="386"/>
      <c r="C115" s="386"/>
      <c r="D115" s="386"/>
    </row>
    <row r="116" spans="1:6" ht="3" customHeight="1" x14ac:dyDescent="0.2"/>
    <row r="117" spans="1:6" ht="16.5" customHeight="1" x14ac:dyDescent="0.2">
      <c r="A117" s="26"/>
      <c r="B117" s="18"/>
      <c r="C117" s="18"/>
      <c r="D117" s="12"/>
      <c r="E117" s="12"/>
      <c r="F117" s="12"/>
    </row>
    <row r="118" spans="1:6" ht="16.5" customHeight="1" x14ac:dyDescent="0.2">
      <c r="A118" s="26"/>
      <c r="B118" s="18"/>
      <c r="C118" s="18"/>
      <c r="D118" s="12"/>
      <c r="E118" s="12"/>
      <c r="F118" s="12"/>
    </row>
    <row r="119" spans="1:6" ht="16.5" customHeight="1" x14ac:dyDescent="0.2">
      <c r="A119" s="26"/>
      <c r="B119" s="18"/>
      <c r="C119" s="18"/>
      <c r="D119" s="12"/>
      <c r="E119" s="12"/>
      <c r="F119" s="12"/>
    </row>
    <row r="120" spans="1:6" ht="16.5" customHeight="1" x14ac:dyDescent="0.2">
      <c r="A120" s="26"/>
      <c r="B120" s="18"/>
      <c r="C120" s="18"/>
      <c r="D120" s="12"/>
      <c r="E120" s="12"/>
      <c r="F120" s="12"/>
    </row>
    <row r="121" spans="1:6" ht="15" customHeight="1" x14ac:dyDescent="0.2">
      <c r="A121" s="22"/>
      <c r="B121" s="18"/>
      <c r="C121" s="18"/>
      <c r="D121" s="5"/>
      <c r="E121" s="5"/>
      <c r="F121" s="5"/>
    </row>
    <row r="122" spans="1:6" ht="30" customHeight="1" x14ac:dyDescent="0.2">
      <c r="A122" s="22"/>
      <c r="B122" s="18"/>
      <c r="C122" s="18"/>
      <c r="D122" s="33"/>
      <c r="E122" s="33"/>
      <c r="F122" s="82" t="e">
        <f>F5</f>
        <v>#N/A</v>
      </c>
    </row>
    <row r="123" spans="1:6" ht="15" customHeight="1" x14ac:dyDescent="0.2">
      <c r="A123" s="22"/>
      <c r="B123" s="18"/>
      <c r="C123" s="18"/>
      <c r="D123" s="5"/>
      <c r="E123" s="5"/>
      <c r="F123" s="5"/>
    </row>
    <row r="124" spans="1:6" ht="15" customHeight="1" x14ac:dyDescent="0.2">
      <c r="A124" s="22"/>
      <c r="B124" s="18"/>
      <c r="C124" s="18"/>
      <c r="D124" s="5"/>
      <c r="E124" s="5"/>
      <c r="F124" s="5"/>
    </row>
    <row r="125" spans="1:6" ht="15" customHeight="1" x14ac:dyDescent="0.2">
      <c r="A125" s="12"/>
      <c r="B125" s="23"/>
      <c r="C125" s="12"/>
      <c r="D125" s="12"/>
      <c r="E125" s="12"/>
      <c r="F125" s="12"/>
    </row>
    <row r="126" spans="1:6" ht="15" customHeight="1" x14ac:dyDescent="0.2">
      <c r="A126" s="12"/>
      <c r="B126" s="12"/>
      <c r="C126" s="12"/>
      <c r="D126" s="12"/>
      <c r="E126" s="12"/>
      <c r="F126" s="12"/>
    </row>
    <row r="127" spans="1:6" ht="15" customHeight="1" x14ac:dyDescent="0.2">
      <c r="A127" s="12"/>
      <c r="B127" s="12"/>
      <c r="C127" s="12"/>
      <c r="D127" s="12"/>
      <c r="E127" s="12"/>
      <c r="F127" s="12"/>
    </row>
    <row r="128" spans="1:6" ht="15" customHeight="1" x14ac:dyDescent="0.2">
      <c r="A128" s="12"/>
      <c r="B128" s="12"/>
      <c r="C128" s="12"/>
      <c r="D128" s="12"/>
      <c r="E128" s="12"/>
      <c r="F128" s="12"/>
    </row>
    <row r="129" spans="1:6" ht="15" customHeight="1" x14ac:dyDescent="0.2">
      <c r="A129" s="12"/>
      <c r="B129" s="12"/>
      <c r="C129" s="12"/>
      <c r="D129" s="12"/>
      <c r="E129" s="12"/>
      <c r="F129" s="12"/>
    </row>
    <row r="130" spans="1:6" ht="15" customHeight="1" x14ac:dyDescent="0.2">
      <c r="A130" s="12"/>
      <c r="B130" s="12"/>
      <c r="C130" s="12"/>
      <c r="D130" s="12"/>
      <c r="E130" s="12"/>
      <c r="F130" s="12"/>
    </row>
    <row r="131" spans="1:6" ht="15" customHeight="1" x14ac:dyDescent="0.2">
      <c r="A131" s="12"/>
      <c r="B131" s="12"/>
      <c r="C131" s="12"/>
      <c r="D131" s="12"/>
      <c r="E131" s="12"/>
      <c r="F131" s="12"/>
    </row>
    <row r="132" spans="1:6" ht="15" customHeight="1" x14ac:dyDescent="0.2">
      <c r="A132" s="12"/>
      <c r="B132" s="12"/>
      <c r="C132" s="12"/>
      <c r="D132" s="12"/>
      <c r="E132" s="12"/>
      <c r="F132" s="12"/>
    </row>
    <row r="133" spans="1:6" ht="15" customHeight="1" x14ac:dyDescent="0.2">
      <c r="A133" s="12"/>
      <c r="B133" s="12"/>
      <c r="C133" s="12"/>
      <c r="D133" s="12"/>
      <c r="E133" s="12"/>
      <c r="F133" s="12"/>
    </row>
    <row r="134" spans="1:6" ht="15" customHeight="1" x14ac:dyDescent="0.2">
      <c r="A134" s="12"/>
      <c r="B134" s="12"/>
      <c r="C134" s="12"/>
      <c r="D134" s="12"/>
      <c r="E134" s="12"/>
      <c r="F134" s="12"/>
    </row>
    <row r="135" spans="1:6" ht="15" customHeight="1" x14ac:dyDescent="0.2">
      <c r="A135" s="12"/>
      <c r="B135" s="12"/>
      <c r="C135" s="12"/>
      <c r="D135" s="12"/>
      <c r="E135" s="12"/>
      <c r="F135" s="12"/>
    </row>
    <row r="136" spans="1:6" ht="15" customHeight="1" x14ac:dyDescent="0.2">
      <c r="A136" s="12"/>
      <c r="B136" s="12"/>
      <c r="C136" s="12"/>
      <c r="D136" s="12"/>
      <c r="E136" s="12"/>
      <c r="F136" s="12"/>
    </row>
    <row r="137" spans="1:6" ht="15" customHeight="1" x14ac:dyDescent="0.2">
      <c r="D137" s="5"/>
      <c r="E137" s="5"/>
      <c r="F137" s="5"/>
    </row>
    <row r="138" spans="1:6" ht="15" customHeight="1" x14ac:dyDescent="0.2">
      <c r="A138" s="5"/>
      <c r="B138" s="5"/>
      <c r="C138" s="5"/>
      <c r="D138" s="5"/>
      <c r="E138" s="5"/>
      <c r="F138" s="5"/>
    </row>
    <row r="139" spans="1:6" ht="15" customHeight="1" x14ac:dyDescent="0.2">
      <c r="A139" s="33"/>
      <c r="B139" s="33"/>
      <c r="C139" s="33"/>
      <c r="D139" s="33"/>
      <c r="E139" s="33"/>
      <c r="F139" s="33"/>
    </row>
    <row r="140" spans="1:6" ht="15" customHeight="1" x14ac:dyDescent="0.2">
      <c r="A140" s="33"/>
      <c r="B140" s="33"/>
      <c r="C140" s="33"/>
      <c r="D140" s="33"/>
      <c r="E140" s="33"/>
      <c r="F140" s="33"/>
    </row>
    <row r="141" spans="1:6" ht="15" customHeight="1" x14ac:dyDescent="0.2">
      <c r="A141" s="812" t="s">
        <v>419</v>
      </c>
      <c r="B141" s="812"/>
      <c r="C141" s="812"/>
      <c r="D141" s="812"/>
      <c r="E141" s="812"/>
      <c r="F141" s="812"/>
    </row>
    <row r="142" spans="1:6" ht="15" customHeight="1" x14ac:dyDescent="0.2">
      <c r="A142" s="812"/>
      <c r="B142" s="812"/>
      <c r="C142" s="812"/>
      <c r="D142" s="812"/>
      <c r="E142" s="812"/>
      <c r="F142" s="812"/>
    </row>
    <row r="143" spans="1:6" ht="12" customHeight="1" x14ac:dyDescent="0.2">
      <c r="A143" s="24"/>
      <c r="B143" s="24"/>
      <c r="C143" s="24"/>
      <c r="D143" s="24"/>
      <c r="E143" s="24"/>
      <c r="F143" s="24"/>
    </row>
    <row r="144" spans="1:6" ht="20.100000000000001" customHeight="1" x14ac:dyDescent="0.2">
      <c r="A144" s="803" t="s">
        <v>187</v>
      </c>
      <c r="B144" s="803"/>
      <c r="C144" s="803"/>
      <c r="D144" s="5"/>
      <c r="E144" s="5"/>
      <c r="F144" s="5"/>
    </row>
    <row r="145" spans="1:6" ht="12" customHeight="1" x14ac:dyDescent="0.2">
      <c r="A145" s="1"/>
      <c r="B145" s="1"/>
      <c r="C145" s="1"/>
      <c r="D145" s="33"/>
      <c r="E145" s="33"/>
      <c r="F145" s="33"/>
    </row>
    <row r="146" spans="1:6" ht="15" customHeight="1" x14ac:dyDescent="0.2">
      <c r="A146" s="827" t="s">
        <v>68</v>
      </c>
      <c r="B146" s="827"/>
      <c r="C146" s="827"/>
      <c r="D146" s="827"/>
      <c r="E146" s="827"/>
      <c r="F146" s="827"/>
    </row>
    <row r="147" spans="1:6" ht="15" customHeight="1" x14ac:dyDescent="0.2">
      <c r="A147" s="4"/>
      <c r="B147" s="4"/>
      <c r="C147" s="4"/>
      <c r="D147" s="4"/>
      <c r="E147" s="4"/>
      <c r="F147" s="4"/>
    </row>
    <row r="148" spans="1:6" ht="15" customHeight="1" x14ac:dyDescent="0.2">
      <c r="A148" s="16"/>
      <c r="B148" s="8" t="str">
        <f>'RT03-F12'!$E$135</f>
        <v>E (R)  (mg) =</v>
      </c>
      <c r="C148" s="38" t="e">
        <f>'RT03-F12'!F135</f>
        <v>#DIV/0!</v>
      </c>
      <c r="D148" s="8" t="s">
        <v>74</v>
      </c>
      <c r="E148" s="16"/>
      <c r="F148" s="16"/>
    </row>
    <row r="149" spans="1:6" ht="15" customHeight="1" x14ac:dyDescent="0.2">
      <c r="A149" s="26"/>
      <c r="E149" s="12"/>
      <c r="F149" s="12"/>
    </row>
    <row r="150" spans="1:6" ht="20.100000000000001" customHeight="1" x14ac:dyDescent="0.2">
      <c r="A150" s="793" t="s">
        <v>148</v>
      </c>
      <c r="B150" s="793"/>
      <c r="C150" s="793"/>
      <c r="D150" s="27" t="s">
        <v>130</v>
      </c>
      <c r="E150" s="60" t="e">
        <f>'RT03-F12'!G118</f>
        <v>#DIV/0!</v>
      </c>
      <c r="F150" s="29" t="s">
        <v>131</v>
      </c>
    </row>
    <row r="151" spans="1:6" ht="15" customHeight="1" x14ac:dyDescent="0.2">
      <c r="A151" s="36"/>
      <c r="B151" s="36"/>
      <c r="C151" s="36"/>
      <c r="D151" s="27"/>
      <c r="E151" s="28"/>
      <c r="F151" s="29"/>
    </row>
    <row r="152" spans="1:6" ht="15" customHeight="1" x14ac:dyDescent="0.2">
      <c r="A152" s="12" t="s">
        <v>414</v>
      </c>
      <c r="B152" s="22" t="e">
        <f>'RT03-F12'!F138</f>
        <v>#N/A</v>
      </c>
      <c r="C152" s="25" t="str">
        <f>[4]RESULTADOS!I23</f>
        <v xml:space="preserve">                + </v>
      </c>
      <c r="D152" s="18" t="str">
        <f>D148</f>
        <v>R (g)</v>
      </c>
      <c r="E152" s="30" t="e">
        <f>'RT03-F12'!H137</f>
        <v>#N/A</v>
      </c>
    </row>
    <row r="153" spans="1:6" ht="15" customHeight="1" x14ac:dyDescent="0.2">
      <c r="A153" s="12"/>
      <c r="B153" s="22"/>
      <c r="C153" s="25"/>
      <c r="D153" s="12"/>
      <c r="E153" s="30"/>
    </row>
    <row r="154" spans="1:6" ht="15" customHeight="1" x14ac:dyDescent="0.2">
      <c r="A154" s="12"/>
      <c r="B154" s="22"/>
      <c r="C154" s="25"/>
      <c r="D154" s="12"/>
      <c r="E154" s="30"/>
    </row>
    <row r="155" spans="1:6" ht="15" customHeight="1" x14ac:dyDescent="0.2">
      <c r="A155" s="795" t="s">
        <v>101</v>
      </c>
      <c r="B155" s="795"/>
      <c r="C155" s="795"/>
      <c r="D155" s="795"/>
      <c r="E155" s="795"/>
      <c r="F155" s="795"/>
    </row>
    <row r="156" spans="1:6" ht="15" customHeight="1" x14ac:dyDescent="0.2">
      <c r="A156" s="795"/>
      <c r="B156" s="795"/>
      <c r="C156" s="795"/>
      <c r="D156" s="795"/>
      <c r="E156" s="795"/>
      <c r="F156" s="795"/>
    </row>
    <row r="157" spans="1:6" ht="15" customHeight="1" x14ac:dyDescent="0.2">
      <c r="A157" s="25"/>
      <c r="B157" s="25"/>
      <c r="C157" s="25"/>
      <c r="D157" s="25"/>
      <c r="E157" s="25"/>
      <c r="F157" s="25"/>
    </row>
    <row r="158" spans="1:6" ht="15" customHeight="1" x14ac:dyDescent="0.2">
      <c r="A158" s="24"/>
      <c r="B158" s="24"/>
      <c r="C158" s="24"/>
      <c r="D158" s="24"/>
      <c r="E158" s="24"/>
      <c r="F158" s="24"/>
    </row>
    <row r="159" spans="1:6" ht="15" customHeight="1" x14ac:dyDescent="0.2">
      <c r="A159" s="31"/>
      <c r="B159" s="31"/>
      <c r="C159" s="31"/>
      <c r="D159" s="31"/>
      <c r="E159" s="31"/>
      <c r="F159" s="31"/>
    </row>
    <row r="160" spans="1:6" ht="15" customHeight="1" x14ac:dyDescent="0.2">
      <c r="A160" s="31"/>
      <c r="B160" s="31"/>
      <c r="C160" s="31"/>
      <c r="D160" s="31"/>
      <c r="E160" s="31"/>
      <c r="F160" s="31"/>
    </row>
    <row r="161" spans="1:6" ht="30" customHeight="1" thickBot="1" x14ac:dyDescent="0.25">
      <c r="A161" s="31"/>
      <c r="B161" s="31"/>
      <c r="C161" s="31"/>
      <c r="D161" s="31"/>
      <c r="E161" s="31"/>
      <c r="F161" s="83" t="e">
        <f>F5</f>
        <v>#N/A</v>
      </c>
    </row>
    <row r="162" spans="1:6" ht="15" customHeight="1" thickBot="1" x14ac:dyDescent="0.25">
      <c r="A162" s="69" t="s">
        <v>102</v>
      </c>
      <c r="B162" s="791" t="s">
        <v>103</v>
      </c>
      <c r="C162" s="792"/>
      <c r="D162" s="792"/>
      <c r="E162" s="23"/>
      <c r="F162" s="11"/>
    </row>
    <row r="163" spans="1:6" ht="15" customHeight="1" thickBot="1" x14ac:dyDescent="0.25">
      <c r="A163" s="70" t="s">
        <v>104</v>
      </c>
      <c r="B163" s="791" t="s">
        <v>105</v>
      </c>
      <c r="C163" s="792"/>
      <c r="D163" s="792"/>
      <c r="E163" s="11"/>
      <c r="F163" s="24"/>
    </row>
    <row r="164" spans="1:6" ht="15" customHeight="1" thickBot="1" x14ac:dyDescent="0.25">
      <c r="A164" s="69" t="s">
        <v>106</v>
      </c>
      <c r="B164" s="791" t="s">
        <v>107</v>
      </c>
      <c r="C164" s="792"/>
      <c r="D164" s="792"/>
      <c r="E164" s="11"/>
      <c r="F164" s="11"/>
    </row>
    <row r="165" spans="1:6" ht="12" customHeight="1" x14ac:dyDescent="0.2">
      <c r="E165" s="11"/>
      <c r="F165" s="11"/>
    </row>
    <row r="166" spans="1:6" ht="20.100000000000001" customHeight="1" x14ac:dyDescent="0.2">
      <c r="A166" s="804" t="s">
        <v>185</v>
      </c>
      <c r="B166" s="804"/>
      <c r="C166" s="804"/>
      <c r="F166" s="11"/>
    </row>
    <row r="167" spans="1:6" ht="12" customHeight="1" x14ac:dyDescent="0.2">
      <c r="D167" s="5"/>
      <c r="E167" s="5"/>
      <c r="F167" s="5"/>
    </row>
    <row r="168" spans="1:6" ht="15" customHeight="1" x14ac:dyDescent="0.2">
      <c r="A168" s="794" t="s">
        <v>159</v>
      </c>
      <c r="B168" s="794"/>
      <c r="C168" s="794"/>
      <c r="D168" s="794"/>
      <c r="E168" s="794"/>
      <c r="F168" s="794"/>
    </row>
    <row r="169" spans="1:6" ht="15" customHeight="1" x14ac:dyDescent="0.2">
      <c r="A169" s="794"/>
      <c r="B169" s="794"/>
      <c r="C169" s="794"/>
      <c r="D169" s="794"/>
      <c r="E169" s="794"/>
      <c r="F169" s="794"/>
    </row>
    <row r="170" spans="1:6" ht="15" customHeight="1" x14ac:dyDescent="0.2">
      <c r="A170" s="794"/>
      <c r="B170" s="794"/>
      <c r="C170" s="794"/>
      <c r="D170" s="794"/>
      <c r="E170" s="794"/>
      <c r="F170" s="794"/>
    </row>
    <row r="171" spans="1:6" ht="15" customHeight="1" x14ac:dyDescent="0.2">
      <c r="A171" s="32"/>
      <c r="B171" s="32"/>
      <c r="C171" s="32"/>
      <c r="D171" s="32"/>
      <c r="E171" s="32"/>
      <c r="F171" s="32"/>
    </row>
    <row r="172" spans="1:6" ht="20.100000000000001" customHeight="1" x14ac:dyDescent="0.2">
      <c r="A172" s="793" t="s">
        <v>149</v>
      </c>
      <c r="B172" s="793"/>
      <c r="C172" s="793"/>
      <c r="D172" s="32"/>
      <c r="E172" s="32"/>
      <c r="F172" s="32"/>
    </row>
    <row r="173" spans="1:6" ht="15" customHeight="1" x14ac:dyDescent="0.2">
      <c r="D173" s="24"/>
      <c r="E173" s="24"/>
      <c r="F173" s="24"/>
    </row>
    <row r="174" spans="1:6" ht="15" customHeight="1" x14ac:dyDescent="0.2">
      <c r="A174" s="795" t="s">
        <v>162</v>
      </c>
      <c r="B174" s="795"/>
      <c r="C174" s="795"/>
      <c r="D174" s="795"/>
      <c r="E174" s="795"/>
      <c r="F174" s="795"/>
    </row>
    <row r="175" spans="1:6" ht="15" customHeight="1" x14ac:dyDescent="0.2">
      <c r="A175" s="795" t="s">
        <v>163</v>
      </c>
      <c r="B175" s="795"/>
      <c r="C175" s="795"/>
      <c r="D175" s="795"/>
      <c r="E175" s="795"/>
      <c r="F175" s="795"/>
    </row>
    <row r="176" spans="1:6" ht="30" customHeight="1" x14ac:dyDescent="0.2">
      <c r="A176" s="826" t="s">
        <v>370</v>
      </c>
      <c r="B176" s="826"/>
      <c r="C176" s="826"/>
      <c r="D176" s="826"/>
      <c r="E176" s="826"/>
      <c r="F176" s="826"/>
    </row>
    <row r="177" spans="1:6" ht="15" customHeight="1" x14ac:dyDescent="0.2">
      <c r="A177" s="795" t="s">
        <v>164</v>
      </c>
      <c r="B177" s="795"/>
      <c r="C177" s="795"/>
      <c r="D177" s="795"/>
      <c r="E177" s="795"/>
      <c r="F177" s="795"/>
    </row>
    <row r="178" spans="1:6" ht="15" customHeight="1" x14ac:dyDescent="0.2">
      <c r="A178" s="795" t="s">
        <v>165</v>
      </c>
      <c r="B178" s="795"/>
      <c r="C178" s="795"/>
      <c r="D178" s="795"/>
      <c r="E178" s="795"/>
      <c r="F178" s="795"/>
    </row>
    <row r="179" spans="1:6" ht="20.100000000000001" customHeight="1" x14ac:dyDescent="0.2">
      <c r="A179" s="822" t="s">
        <v>150</v>
      </c>
      <c r="B179" s="822"/>
      <c r="C179" s="822"/>
      <c r="D179" s="5"/>
      <c r="E179" s="5"/>
      <c r="F179" s="5"/>
    </row>
    <row r="180" spans="1:6" ht="15" customHeight="1" thickBot="1" x14ac:dyDescent="0.25">
      <c r="B180" s="5"/>
      <c r="C180" s="5"/>
      <c r="D180" s="5"/>
      <c r="E180" s="5"/>
      <c r="F180" s="5"/>
    </row>
    <row r="181" spans="1:6" ht="27" customHeight="1" thickBot="1" x14ac:dyDescent="0.25">
      <c r="B181" s="81" t="s">
        <v>18</v>
      </c>
      <c r="C181" s="477" t="s">
        <v>186</v>
      </c>
      <c r="D181" s="842" t="s">
        <v>416</v>
      </c>
      <c r="E181" s="12"/>
      <c r="F181" s="5"/>
    </row>
    <row r="182" spans="1:6" ht="15" customHeight="1" x14ac:dyDescent="0.2">
      <c r="B182" s="80" t="e">
        <f>'RT03-F12'!B55</f>
        <v>#N/A</v>
      </c>
      <c r="C182" s="478">
        <f>'RT03-F12'!C55</f>
        <v>0</v>
      </c>
      <c r="D182" s="843" t="e">
        <f>'RT03-F12'!D55</f>
        <v>#N/A</v>
      </c>
      <c r="E182" s="5"/>
      <c r="F182" s="5"/>
    </row>
    <row r="183" spans="1:6" ht="15" customHeight="1" x14ac:dyDescent="0.2">
      <c r="B183" s="59" t="e">
        <f>'RT03-F12'!B56</f>
        <v>#N/A</v>
      </c>
      <c r="C183" s="479">
        <f>'RT03-F12'!C56</f>
        <v>0</v>
      </c>
      <c r="D183" s="843" t="e">
        <f>'RT03-F12'!D56</f>
        <v>#N/A</v>
      </c>
      <c r="E183" s="5"/>
      <c r="F183" s="5"/>
    </row>
    <row r="184" spans="1:6" ht="15" customHeight="1" x14ac:dyDescent="0.2">
      <c r="B184" s="59" t="e">
        <f>'RT03-F12'!B57</f>
        <v>#N/A</v>
      </c>
      <c r="C184" s="479">
        <f>'RT03-F12'!C57</f>
        <v>0</v>
      </c>
      <c r="D184" s="843" t="e">
        <f>'RT03-F12'!D57</f>
        <v>#N/A</v>
      </c>
      <c r="E184" s="5"/>
      <c r="F184" s="5"/>
    </row>
    <row r="185" spans="1:6" ht="15" customHeight="1" x14ac:dyDescent="0.2">
      <c r="B185" s="59" t="e">
        <f>'RT03-F12'!B58</f>
        <v>#N/A</v>
      </c>
      <c r="C185" s="479">
        <f>'RT03-F12'!C58</f>
        <v>0</v>
      </c>
      <c r="D185" s="843" t="e">
        <f>'RT03-F12'!D58</f>
        <v>#N/A</v>
      </c>
      <c r="E185" s="5"/>
      <c r="F185" s="5"/>
    </row>
    <row r="186" spans="1:6" ht="15" customHeight="1" x14ac:dyDescent="0.2">
      <c r="B186" s="59" t="e">
        <f>'RT03-F12'!B59</f>
        <v>#N/A</v>
      </c>
      <c r="C186" s="479">
        <f>'RT03-F12'!C59</f>
        <v>0</v>
      </c>
      <c r="D186" s="843" t="e">
        <f>'RT03-F12'!D59</f>
        <v>#N/A</v>
      </c>
      <c r="E186" s="5"/>
      <c r="F186" s="5"/>
    </row>
    <row r="187" spans="1:6" ht="15" customHeight="1" x14ac:dyDescent="0.2">
      <c r="B187" s="61"/>
      <c r="C187" s="62"/>
      <c r="D187" s="63"/>
      <c r="E187" s="33"/>
      <c r="F187" s="33"/>
    </row>
    <row r="188" spans="1:6" ht="15" customHeight="1" x14ac:dyDescent="0.2">
      <c r="A188" s="825"/>
      <c r="B188" s="825"/>
      <c r="C188" s="5"/>
      <c r="D188" s="5"/>
      <c r="E188" s="5"/>
      <c r="F188" s="5"/>
    </row>
    <row r="189" spans="1:6" ht="15" customHeight="1" x14ac:dyDescent="0.2">
      <c r="A189" s="64"/>
      <c r="B189" s="64"/>
      <c r="C189" s="65"/>
      <c r="D189" s="33"/>
      <c r="E189" s="33"/>
      <c r="F189" s="33"/>
    </row>
    <row r="190" spans="1:6" ht="20.100000000000001" customHeight="1" x14ac:dyDescent="0.2">
      <c r="A190" s="820" t="s">
        <v>356</v>
      </c>
      <c r="B190" s="820"/>
      <c r="C190" s="268"/>
    </row>
    <row r="191" spans="1:6" ht="15" customHeight="1" x14ac:dyDescent="0.2">
      <c r="B191" s="13"/>
      <c r="C191" s="3"/>
    </row>
    <row r="192" spans="1:6" ht="15" customHeight="1" x14ac:dyDescent="0.2">
      <c r="A192" s="819" t="s">
        <v>108</v>
      </c>
      <c r="B192" s="819"/>
      <c r="C192" s="819"/>
      <c r="D192" s="819" t="s">
        <v>153</v>
      </c>
      <c r="E192" s="819"/>
      <c r="F192" s="819"/>
    </row>
    <row r="193" spans="1:6" ht="15" customHeight="1" x14ac:dyDescent="0.2">
      <c r="A193" s="818" t="s">
        <v>155</v>
      </c>
      <c r="B193" s="818"/>
      <c r="C193" s="79"/>
      <c r="D193" s="828" t="s">
        <v>151</v>
      </c>
      <c r="E193" s="828"/>
      <c r="F193" s="79"/>
    </row>
    <row r="194" spans="1:6" ht="20.25" customHeight="1" x14ac:dyDescent="0.2">
      <c r="A194" s="817" t="e">
        <f>VLOOKUP($C$193,DATOS!$D$158:$H$162,4,FALSE)</f>
        <v>#N/A</v>
      </c>
      <c r="B194" s="817"/>
      <c r="C194" s="817"/>
      <c r="D194" s="817" t="e">
        <f>VLOOKUP($F$193,DATOS!$D$158:$H$162,4,FALSE)</f>
        <v>#N/A</v>
      </c>
      <c r="E194" s="817"/>
      <c r="F194" s="817"/>
    </row>
    <row r="195" spans="1:6" ht="15" customHeight="1" x14ac:dyDescent="0.2">
      <c r="A195" s="817" t="e">
        <f>VLOOKUP($C$193,DATOS!$D$158:$H$162,2,FALSE)</f>
        <v>#N/A</v>
      </c>
      <c r="B195" s="817"/>
      <c r="C195" s="817"/>
      <c r="D195" s="817" t="e">
        <f>VLOOKUP($F$193,DATOS!$D$158:$H$162,2,FALSE)</f>
        <v>#N/A</v>
      </c>
      <c r="E195" s="817"/>
      <c r="F195" s="817"/>
    </row>
    <row r="197" spans="1:6" s="39" customFormat="1" ht="9.9499999999999993" customHeight="1" x14ac:dyDescent="0.25">
      <c r="B197" s="821" t="s">
        <v>160</v>
      </c>
      <c r="C197" s="821"/>
      <c r="D197" s="821"/>
      <c r="E197" s="821"/>
    </row>
    <row r="198" spans="1:6" ht="15" customHeight="1" x14ac:dyDescent="0.2">
      <c r="B198" s="35"/>
      <c r="C198" s="35"/>
      <c r="D198" s="35"/>
      <c r="E198" s="35"/>
    </row>
  </sheetData>
  <sheetProtection algorithmName="SHA-512" hashValue="hmlIooswgwhNQQLjR1sv99xYuu6yssRsaeUeYIfuOsrjzBoP54xGMb0H/I8WVBFGZgfmwdTWO4FQdiApdutQow==" saltValue="+GStFFfhYFSsrDZoSGc7BA==" spinCount="100000" sheet="1" objects="1" scenarios="1"/>
  <mergeCells count="83">
    <mergeCell ref="A5:C5"/>
    <mergeCell ref="A7:B7"/>
    <mergeCell ref="C11:D11"/>
    <mergeCell ref="D17:E17"/>
    <mergeCell ref="C9:D9"/>
    <mergeCell ref="C13:D13"/>
    <mergeCell ref="C7:F7"/>
    <mergeCell ref="A8:B8"/>
    <mergeCell ref="A9:B9"/>
    <mergeCell ref="A10:B10"/>
    <mergeCell ref="A11:B11"/>
    <mergeCell ref="A12:B12"/>
    <mergeCell ref="A13:B13"/>
    <mergeCell ref="A14:B14"/>
    <mergeCell ref="A17:B17"/>
    <mergeCell ref="C12:D12"/>
    <mergeCell ref="A30:C30"/>
    <mergeCell ref="A58:F58"/>
    <mergeCell ref="A34:D34"/>
    <mergeCell ref="A36:F39"/>
    <mergeCell ref="A28:F28"/>
    <mergeCell ref="A49:C49"/>
    <mergeCell ref="D49:F49"/>
    <mergeCell ref="C50:D50"/>
    <mergeCell ref="A41:B42"/>
    <mergeCell ref="C41:F42"/>
    <mergeCell ref="A43:B44"/>
    <mergeCell ref="C43:F44"/>
    <mergeCell ref="A45:B46"/>
    <mergeCell ref="A54:C54"/>
    <mergeCell ref="A19:C19"/>
    <mergeCell ref="A21:B21"/>
    <mergeCell ref="A22:B22"/>
    <mergeCell ref="B197:E197"/>
    <mergeCell ref="A179:C179"/>
    <mergeCell ref="A32:F32"/>
    <mergeCell ref="C45:F46"/>
    <mergeCell ref="A52:B52"/>
    <mergeCell ref="A50:B50"/>
    <mergeCell ref="A168:F170"/>
    <mergeCell ref="A195:C195"/>
    <mergeCell ref="A188:B188"/>
    <mergeCell ref="A176:F176"/>
    <mergeCell ref="A146:F146"/>
    <mergeCell ref="A166:C166"/>
    <mergeCell ref="D193:E193"/>
    <mergeCell ref="D195:F195"/>
    <mergeCell ref="D194:F194"/>
    <mergeCell ref="A194:C194"/>
    <mergeCell ref="A172:C172"/>
    <mergeCell ref="A175:F175"/>
    <mergeCell ref="A174:F174"/>
    <mergeCell ref="A177:F177"/>
    <mergeCell ref="A193:B193"/>
    <mergeCell ref="D192:F192"/>
    <mergeCell ref="A192:C192"/>
    <mergeCell ref="A190:B190"/>
    <mergeCell ref="A178:F178"/>
    <mergeCell ref="C8:D8"/>
    <mergeCell ref="E9:F15"/>
    <mergeCell ref="A144:C144"/>
    <mergeCell ref="A60:D60"/>
    <mergeCell ref="A66:D66"/>
    <mergeCell ref="A86:D86"/>
    <mergeCell ref="A84:B84"/>
    <mergeCell ref="A107:C107"/>
    <mergeCell ref="A105:D105"/>
    <mergeCell ref="A141:F142"/>
    <mergeCell ref="A70:C70"/>
    <mergeCell ref="A68:B68"/>
    <mergeCell ref="A100:F103"/>
    <mergeCell ref="A26:B26"/>
    <mergeCell ref="A23:B23"/>
    <mergeCell ref="A24:B24"/>
    <mergeCell ref="A64:B64"/>
    <mergeCell ref="A62:B62"/>
    <mergeCell ref="A63:B63"/>
    <mergeCell ref="B164:D164"/>
    <mergeCell ref="B163:D163"/>
    <mergeCell ref="A150:C150"/>
    <mergeCell ref="A80:F82"/>
    <mergeCell ref="A155:F156"/>
    <mergeCell ref="B162:D162"/>
  </mergeCells>
  <pageMargins left="0.70866141732283472" right="0.70866141732283472" top="0.74803149606299213" bottom="0.74803149606299213" header="0.31496062992125984" footer="0.31496062992125984"/>
  <pageSetup scale="99" orientation="portrait" horizontalDpi="4294967293" r:id="rId1"/>
  <headerFooter>
    <oddHeader xml:space="preserve">&amp;C &amp;"-,Negrita"&amp;12  
                &amp;16SUPLEMENTO CERTIFICADO DE CALIBRACIÓN 
             DE  BALANZAS&amp;R&amp;"-,Negrita"&amp;12
             </oddHeader>
    <oddFooter>&amp;R&amp;8  
RT03-F39  Vr 2(2018-05-23)
&amp;P de &amp;N</oddFooter>
  </headerFooter>
  <rowBreaks count="4" manualBreakCount="4">
    <brk id="47" max="5" man="1"/>
    <brk id="83" min="1" max="5" man="1"/>
    <brk id="120" min="1" max="5" man="1"/>
    <brk id="16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DATOS!$D$158:$D$162</xm:f>
          </x14:formula1>
          <xm:sqref>F193</xm:sqref>
        </x14:dataValidation>
        <x14:dataValidation type="list" allowBlank="1" showInputMessage="1" showErrorMessage="1">
          <x14:formula1>
            <xm:f>DATOS!$D$158:$D$160</xm:f>
          </x14:formula1>
          <xm:sqref>C193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DATOS</vt:lpstr>
      <vt:lpstr>RT03-F12</vt:lpstr>
      <vt:lpstr>RT03-F39</vt:lpstr>
      <vt:lpstr>DATOS!Área_de_impresión</vt:lpstr>
      <vt:lpstr>'RT03-F12'!Área_de_impresión</vt:lpstr>
      <vt:lpstr>'RT03-F39'!Área_de_impresión</vt:lpstr>
      <vt:lpstr>'RT03-F12'!Títulos_a_imprimir</vt:lpstr>
      <vt:lpstr>'RT03-F39'!Títulos_a_imprimir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Astrid Hernández Gómez</cp:lastModifiedBy>
  <cp:lastPrinted>2018-05-23T20:24:41Z</cp:lastPrinted>
  <dcterms:created xsi:type="dcterms:W3CDTF">2016-06-28T20:23:39Z</dcterms:created>
  <dcterms:modified xsi:type="dcterms:W3CDTF">2018-05-23T20:25:09Z</dcterms:modified>
</cp:coreProperties>
</file>